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dahogov-my.sharepoint.com/personal/avelasq_puc_idaho_gov/Documents/Desktop/Angie Scan Folder/"/>
    </mc:Choice>
  </mc:AlternateContent>
  <xr:revisionPtr revIDLastSave="5" documentId="13_ncr:1_{798BC8BD-006A-4BB5-A0CE-93EC0D468E98}" xr6:coauthVersionLast="47" xr6:coauthVersionMax="47" xr10:uidLastSave="{6DC6E488-D1C2-478E-8AAA-2C996A586B01}"/>
  <bookViews>
    <workbookView xWindow="19090" yWindow="-1670" windowWidth="25820" windowHeight="13900" activeTab="1" xr2:uid="{62F3AAB9-A17A-4FDC-AE50-852F64A0BDED}"/>
  </bookViews>
  <sheets>
    <sheet name="1- Chart of Adjustments" sheetId="13" r:id="rId1"/>
    <sheet name="2- Summary" sheetId="1" r:id="rId2"/>
    <sheet name="3- Revenue Requirement" sheetId="2" r:id="rId3"/>
    <sheet name="4- Rate Design &amp; Rate Proof" sheetId="14" r:id="rId4"/>
    <sheet name="Capital Structure" sheetId="3" state="hidden" r:id="rId5"/>
    <sheet name="capital add" sheetId="4" state="hidden" r:id="rId6"/>
    <sheet name="well 3 pump fail notice" sheetId="11" state="hidden" r:id="rId7"/>
    <sheet name="MGMT Email" sheetId="8" state="hidden" r:id="rId8"/>
    <sheet name="MGMT affadavit" sheetId="9" state="hidden" r:id="rId9"/>
    <sheet name="Depreciation" sheetId="5" state="hidden" r:id="rId10"/>
    <sheet name="Water Testing" sheetId="12" state="hidden" r:id="rId11"/>
    <sheet name="Teresa Salary" sheetId="10" state="hidden" r:id="rId12"/>
    <sheet name="Equipment" sheetId="6" state="hidden" r:id="rId13"/>
    <sheet name="Rate Case Expense" sheetId="7" state="hidden" r:id="rId14"/>
  </sheets>
  <externalReferences>
    <externalReference r:id="rId15"/>
  </externalReferences>
  <definedNames>
    <definedName name="_xlnm._FilterDatabase" localSheetId="9" hidden="1">Depreciation!$A$3:$M$12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4" l="1"/>
  <c r="C26" i="14"/>
  <c r="B26" i="14"/>
  <c r="D25" i="14"/>
  <c r="C25" i="14"/>
  <c r="B25" i="14"/>
  <c r="D24" i="14"/>
  <c r="C24" i="14"/>
  <c r="B24" i="14"/>
  <c r="D23" i="14"/>
  <c r="C23" i="14"/>
  <c r="B23" i="14"/>
  <c r="D22" i="14"/>
  <c r="C22" i="14"/>
  <c r="B22" i="14"/>
  <c r="D21" i="14"/>
  <c r="C21" i="14"/>
  <c r="B21" i="14"/>
  <c r="D20" i="14"/>
  <c r="C20" i="14"/>
  <c r="B20" i="14"/>
  <c r="D19" i="14"/>
  <c r="C19" i="14"/>
  <c r="B19" i="14"/>
  <c r="D18" i="14"/>
  <c r="C18" i="14"/>
  <c r="B18" i="14"/>
  <c r="D17" i="14"/>
  <c r="C17" i="14"/>
  <c r="B17" i="14"/>
  <c r="D16" i="14"/>
  <c r="D27" i="14" s="1"/>
  <c r="D29" i="14" s="1"/>
  <c r="C16" i="14"/>
  <c r="C27" i="14" s="1"/>
  <c r="B16" i="14"/>
  <c r="B27" i="14" s="1"/>
  <c r="G10" i="14"/>
  <c r="F10" i="14"/>
  <c r="C10" i="14"/>
  <c r="B10" i="14"/>
  <c r="G9" i="14"/>
  <c r="F9" i="14"/>
  <c r="C9" i="14"/>
  <c r="B9" i="14"/>
  <c r="G8" i="14"/>
  <c r="F8" i="14"/>
  <c r="C8" i="14"/>
  <c r="B8" i="14"/>
  <c r="G7" i="14"/>
  <c r="F7" i="14"/>
  <c r="C7" i="14"/>
  <c r="B7" i="14"/>
  <c r="G6" i="14"/>
  <c r="F6" i="14"/>
  <c r="C6" i="14"/>
  <c r="B6" i="14"/>
  <c r="G5" i="14"/>
  <c r="F5" i="14"/>
  <c r="C5" i="14"/>
  <c r="B5" i="14"/>
  <c r="G4" i="14"/>
  <c r="F4" i="14"/>
  <c r="C4" i="14"/>
  <c r="B4" i="14"/>
  <c r="G3" i="14"/>
  <c r="F3" i="14"/>
  <c r="C3" i="14"/>
  <c r="B3" i="14"/>
  <c r="G19" i="2"/>
  <c r="G22" i="2" s="1"/>
  <c r="G24" i="2" s="1"/>
  <c r="G14" i="2"/>
  <c r="I35" i="2"/>
  <c r="X37" i="1" l="1"/>
  <c r="A11" i="10" l="1"/>
  <c r="A10" i="10"/>
  <c r="D15" i="12"/>
  <c r="F15" i="12" s="1"/>
  <c r="G15" i="12" s="1"/>
  <c r="D14" i="12"/>
  <c r="F14" i="12" s="1"/>
  <c r="G14" i="12" s="1"/>
  <c r="D13" i="12"/>
  <c r="F13" i="12" s="1"/>
  <c r="G13" i="12" s="1"/>
  <c r="D12" i="12"/>
  <c r="F12" i="12" s="1"/>
  <c r="G12" i="12" s="1"/>
  <c r="D11" i="12"/>
  <c r="F11" i="12" s="1"/>
  <c r="G11" i="12" s="1"/>
  <c r="D10" i="12"/>
  <c r="F10" i="12" s="1"/>
  <c r="G10" i="12" s="1"/>
  <c r="D9" i="12"/>
  <c r="F9" i="12" s="1"/>
  <c r="G9" i="12" s="1"/>
  <c r="D8" i="12"/>
  <c r="F8" i="12" s="1"/>
  <c r="G8" i="12" s="1"/>
  <c r="D4" i="12"/>
  <c r="F4" i="12" s="1"/>
  <c r="G4" i="12" s="1"/>
  <c r="D3" i="12"/>
  <c r="F3" i="12" s="1"/>
  <c r="G3" i="12" s="1"/>
  <c r="C2" i="12"/>
  <c r="D2" i="12" s="1"/>
  <c r="F2" i="12" s="1"/>
  <c r="G2" i="12" s="1"/>
  <c r="G5" i="12" s="1"/>
  <c r="G16" i="12" l="1"/>
  <c r="G18" i="12" s="1"/>
  <c r="A4" i="10" l="1"/>
  <c r="A6" i="10" s="1"/>
  <c r="A2" i="10"/>
  <c r="I23" i="1"/>
  <c r="J22" i="1"/>
  <c r="D14" i="7"/>
  <c r="D10" i="7"/>
  <c r="D12" i="7" s="1"/>
  <c r="D16" i="7" s="1"/>
  <c r="D18" i="7" s="1"/>
  <c r="E9" i="7"/>
  <c r="E8" i="7"/>
  <c r="D5" i="7"/>
  <c r="G2" i="6" l="1"/>
  <c r="G3" i="6"/>
  <c r="G4" i="6"/>
  <c r="G5" i="6"/>
  <c r="B6" i="6"/>
  <c r="B9" i="6" s="1"/>
  <c r="F9" i="6" l="1"/>
  <c r="E9" i="6"/>
  <c r="G8" i="6" l="1"/>
  <c r="G6" i="6" l="1"/>
  <c r="G9" i="6" s="1"/>
  <c r="H4" i="6" l="1"/>
  <c r="I4" i="6" s="1"/>
  <c r="K4" i="6" s="1"/>
  <c r="H2" i="6"/>
  <c r="H3" i="6"/>
  <c r="I3" i="6" s="1"/>
  <c r="K3" i="6" s="1"/>
  <c r="H5" i="6"/>
  <c r="I5" i="6" s="1"/>
  <c r="K6" i="6" l="1"/>
  <c r="H6" i="6"/>
  <c r="I2" i="6"/>
  <c r="I6" i="6" s="1"/>
  <c r="M6" i="6" l="1"/>
  <c r="N6" i="6" s="1"/>
  <c r="F93" i="1" l="1"/>
  <c r="F83" i="1"/>
  <c r="F86" i="1" s="1"/>
  <c r="P83" i="1"/>
  <c r="P86" i="1" s="1"/>
  <c r="F49" i="1"/>
  <c r="F14" i="1"/>
  <c r="F15" i="1" s="1"/>
  <c r="F40" i="1"/>
  <c r="F96" i="1" s="1"/>
  <c r="F44" i="1"/>
  <c r="G13" i="5"/>
  <c r="D13" i="5"/>
  <c r="C13" i="5"/>
  <c r="L12" i="5"/>
  <c r="M12" i="5" s="1"/>
  <c r="K12" i="5"/>
  <c r="I12" i="5"/>
  <c r="H12" i="5"/>
  <c r="E12" i="5"/>
  <c r="L11" i="5"/>
  <c r="M11" i="5" s="1"/>
  <c r="I11" i="5"/>
  <c r="H11" i="5"/>
  <c r="E11" i="5"/>
  <c r="M10" i="5"/>
  <c r="I10" i="5"/>
  <c r="H10" i="5"/>
  <c r="E10" i="5"/>
  <c r="L9" i="5"/>
  <c r="K9" i="5" s="1"/>
  <c r="I9" i="5"/>
  <c r="H9" i="5"/>
  <c r="E9" i="5"/>
  <c r="K8" i="5"/>
  <c r="L7" i="5"/>
  <c r="M7" i="5" s="1"/>
  <c r="K7" i="5"/>
  <c r="I7" i="5"/>
  <c r="H7" i="5"/>
  <c r="E7" i="5"/>
  <c r="E6" i="5"/>
  <c r="L5" i="5"/>
  <c r="M5" i="5" s="1"/>
  <c r="K5" i="5"/>
  <c r="I5" i="5"/>
  <c r="H5" i="5"/>
  <c r="E5" i="5"/>
  <c r="E4" i="5"/>
  <c r="E13" i="5" s="1"/>
  <c r="G44" i="1"/>
  <c r="F54" i="1" l="1"/>
  <c r="F55" i="1" s="1"/>
  <c r="F41" i="1"/>
  <c r="F95" i="1"/>
  <c r="F99" i="1" s="1"/>
  <c r="K11" i="5"/>
  <c r="M9" i="5"/>
  <c r="M13" i="5" s="1"/>
  <c r="L13" i="5"/>
  <c r="F56" i="1" l="1"/>
  <c r="W36" i="1"/>
  <c r="M18" i="1"/>
  <c r="L19" i="1"/>
  <c r="T34" i="1"/>
  <c r="I14" i="1"/>
  <c r="I15" i="1" s="1"/>
  <c r="X14" i="1"/>
  <c r="X15" i="1" s="1"/>
  <c r="J93" i="1"/>
  <c r="J83" i="1"/>
  <c r="J86" i="1" s="1"/>
  <c r="J49" i="1"/>
  <c r="J40" i="1"/>
  <c r="J96" i="1" s="1"/>
  <c r="J14" i="1"/>
  <c r="J15" i="1" s="1"/>
  <c r="Z10" i="1"/>
  <c r="Z11" i="1"/>
  <c r="Z12" i="1"/>
  <c r="Z13" i="1"/>
  <c r="I44" i="1"/>
  <c r="V14" i="1"/>
  <c r="V15" i="1" s="1"/>
  <c r="U14" i="1"/>
  <c r="U15" i="1" s="1"/>
  <c r="K14" i="1"/>
  <c r="K15" i="1" s="1"/>
  <c r="X93" i="1"/>
  <c r="X83" i="1"/>
  <c r="X86" i="1" s="1"/>
  <c r="X49" i="1"/>
  <c r="X40" i="1"/>
  <c r="K32" i="1"/>
  <c r="K40" i="1" s="1"/>
  <c r="V93" i="1"/>
  <c r="U93" i="1"/>
  <c r="K93" i="1"/>
  <c r="I93" i="1"/>
  <c r="V83" i="1"/>
  <c r="V86" i="1" s="1"/>
  <c r="U83" i="1"/>
  <c r="U86" i="1" s="1"/>
  <c r="K83" i="1"/>
  <c r="K86" i="1" s="1"/>
  <c r="I83" i="1"/>
  <c r="I86" i="1" s="1"/>
  <c r="V49" i="1"/>
  <c r="V54" i="1" s="1"/>
  <c r="V55" i="1" s="1"/>
  <c r="U49" i="1"/>
  <c r="U54" i="1" s="1"/>
  <c r="U55" i="1" s="1"/>
  <c r="K49" i="1"/>
  <c r="K54" i="1" s="1"/>
  <c r="K55" i="1" s="1"/>
  <c r="I49" i="1"/>
  <c r="U40" i="1"/>
  <c r="U96" i="1" s="1"/>
  <c r="I40" i="1"/>
  <c r="I96" i="1" s="1"/>
  <c r="V34" i="1"/>
  <c r="V40" i="1" s="1"/>
  <c r="V96" i="1" s="1"/>
  <c r="N17" i="1"/>
  <c r="A4" i="4"/>
  <c r="E14" i="1"/>
  <c r="P14" i="1"/>
  <c r="Q14" i="1"/>
  <c r="R14" i="1"/>
  <c r="H14" i="1"/>
  <c r="S14" i="1"/>
  <c r="G14" i="1"/>
  <c r="M14" i="1"/>
  <c r="L14" i="1"/>
  <c r="N14" i="1"/>
  <c r="O14" i="1"/>
  <c r="T14" i="1"/>
  <c r="W14" i="1"/>
  <c r="X95" i="1" l="1"/>
  <c r="J95" i="1"/>
  <c r="J99" i="1" s="1"/>
  <c r="I54" i="1"/>
  <c r="I55" i="1" s="1"/>
  <c r="X54" i="1"/>
  <c r="X55" i="1" s="1"/>
  <c r="J54" i="1"/>
  <c r="J55" i="1" s="1"/>
  <c r="V41" i="1"/>
  <c r="V56" i="1" s="1"/>
  <c r="J41" i="1"/>
  <c r="X41" i="1"/>
  <c r="K41" i="1"/>
  <c r="K56" i="1" s="1"/>
  <c r="I95" i="1"/>
  <c r="I99" i="1" s="1"/>
  <c r="K95" i="1"/>
  <c r="X96" i="1"/>
  <c r="X99" i="1" s="1"/>
  <c r="V95" i="1"/>
  <c r="V99" i="1" s="1"/>
  <c r="U95" i="1"/>
  <c r="U99" i="1" s="1"/>
  <c r="U41" i="1"/>
  <c r="U56" i="1" s="1"/>
  <c r="I41" i="1"/>
  <c r="K96" i="1"/>
  <c r="E35" i="2"/>
  <c r="E34" i="2"/>
  <c r="E77" i="1"/>
  <c r="E71" i="1"/>
  <c r="E67" i="1"/>
  <c r="D83" i="1"/>
  <c r="D86" i="1" s="1"/>
  <c r="Z38" i="1"/>
  <c r="Z37" i="1"/>
  <c r="D14" i="1"/>
  <c r="T40" i="1"/>
  <c r="T49" i="1"/>
  <c r="T54" i="1" s="1"/>
  <c r="T55" i="1" s="1"/>
  <c r="T83" i="1"/>
  <c r="T86" i="1" s="1"/>
  <c r="T15" i="1"/>
  <c r="J56" i="1" l="1"/>
  <c r="X56" i="1"/>
  <c r="K99" i="1"/>
  <c r="I56" i="1"/>
  <c r="T41" i="1"/>
  <c r="T56" i="1" s="1"/>
  <c r="D49" i="1" l="1"/>
  <c r="D54" i="1" s="1"/>
  <c r="Z21" i="1"/>
  <c r="Z22" i="1"/>
  <c r="Z23" i="1"/>
  <c r="Z24" i="1"/>
  <c r="Z25" i="1"/>
  <c r="Z26" i="1"/>
  <c r="Z27" i="1"/>
  <c r="Z28" i="1"/>
  <c r="Z29" i="1"/>
  <c r="Z30" i="1"/>
  <c r="Z31" i="1"/>
  <c r="Z33" i="1"/>
  <c r="Z35" i="1"/>
  <c r="Z36" i="1"/>
  <c r="Z39" i="1"/>
  <c r="Z34" i="1"/>
  <c r="T93" i="1"/>
  <c r="T95" i="1" s="1"/>
  <c r="T96" i="1"/>
  <c r="Z97" i="1"/>
  <c r="Z32" i="1"/>
  <c r="T99" i="1" l="1"/>
  <c r="Z18" i="1" l="1"/>
  <c r="Z50" i="1"/>
  <c r="Z45" i="1"/>
  <c r="F2" i="1"/>
  <c r="G2" i="1" s="1"/>
  <c r="H2" i="1" s="1"/>
  <c r="I2" i="1" s="1"/>
  <c r="J2" i="1" s="1"/>
  <c r="K2" i="1" s="1"/>
  <c r="W93" i="1"/>
  <c r="W83" i="1"/>
  <c r="W86" i="1" s="1"/>
  <c r="W49" i="1"/>
  <c r="W54" i="1" s="1"/>
  <c r="W55" i="1" s="1"/>
  <c r="W40" i="1"/>
  <c r="W96" i="1" s="1"/>
  <c r="W15" i="1"/>
  <c r="Z98" i="1"/>
  <c r="Z91" i="1"/>
  <c r="Z85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6" i="1"/>
  <c r="Z77" i="1"/>
  <c r="Z78" i="1"/>
  <c r="Z79" i="1"/>
  <c r="Z80" i="1"/>
  <c r="Z81" i="1"/>
  <c r="Z82" i="1"/>
  <c r="Z60" i="1"/>
  <c r="Z51" i="1"/>
  <c r="Z52" i="1"/>
  <c r="Z53" i="1"/>
  <c r="Z46" i="1"/>
  <c r="Z48" i="1"/>
  <c r="Z43" i="1"/>
  <c r="Z9" i="1"/>
  <c r="L2" i="1" l="1"/>
  <c r="M2" i="1" s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W95" i="1"/>
  <c r="W99" i="1" s="1"/>
  <c r="Z75" i="1"/>
  <c r="W41" i="1"/>
  <c r="W56" i="1" s="1"/>
  <c r="Z17" i="1" l="1"/>
  <c r="Z19" i="1" l="1"/>
  <c r="Z47" i="1"/>
  <c r="Z49" i="1" s="1"/>
  <c r="Z20" i="1" l="1"/>
  <c r="Z40" i="1" l="1"/>
  <c r="E49" i="1"/>
  <c r="E54" i="1" s="1"/>
  <c r="E55" i="1" s="1"/>
  <c r="P49" i="1"/>
  <c r="P54" i="1" s="1"/>
  <c r="P55" i="1" s="1"/>
  <c r="Q49" i="1"/>
  <c r="R49" i="1"/>
  <c r="R54" i="1" s="1"/>
  <c r="R55" i="1" s="1"/>
  <c r="H49" i="1"/>
  <c r="S49" i="1"/>
  <c r="S54" i="1" s="1"/>
  <c r="S55" i="1" s="1"/>
  <c r="G49" i="1"/>
  <c r="G54" i="1" s="1"/>
  <c r="G55" i="1" s="1"/>
  <c r="M49" i="1"/>
  <c r="L49" i="1"/>
  <c r="N49" i="1"/>
  <c r="N54" i="1" s="1"/>
  <c r="N55" i="1" s="1"/>
  <c r="O49" i="1"/>
  <c r="O54" i="1" s="1"/>
  <c r="O55" i="1" s="1"/>
  <c r="I34" i="2" l="1"/>
  <c r="I12" i="2" s="1"/>
  <c r="I37" i="2" l="1"/>
  <c r="J13" i="3"/>
  <c r="K11" i="3" s="1"/>
  <c r="M11" i="3" s="1"/>
  <c r="Q54" i="1"/>
  <c r="Q55" i="1" s="1"/>
  <c r="D13" i="3"/>
  <c r="E9" i="3" s="1"/>
  <c r="G9" i="3" s="1"/>
  <c r="I39" i="2" l="1"/>
  <c r="I41" i="2" s="1"/>
  <c r="I43" i="2" s="1"/>
  <c r="I17" i="2" s="1"/>
  <c r="K9" i="3"/>
  <c r="E11" i="3"/>
  <c r="G11" i="3" s="1"/>
  <c r="M9" i="3" l="1"/>
  <c r="M13" i="3" s="1"/>
  <c r="I4" i="2" s="1"/>
  <c r="K13" i="3"/>
  <c r="E13" i="3"/>
  <c r="G13" i="3"/>
  <c r="E4" i="2" s="1"/>
  <c r="E37" i="2" l="1"/>
  <c r="M54" i="1"/>
  <c r="M55" i="1" s="1"/>
  <c r="E93" i="1"/>
  <c r="P93" i="1"/>
  <c r="Q93" i="1"/>
  <c r="R93" i="1"/>
  <c r="H93" i="1"/>
  <c r="S93" i="1"/>
  <c r="M93" i="1"/>
  <c r="L93" i="1"/>
  <c r="N93" i="1"/>
  <c r="O93" i="1"/>
  <c r="D93" i="1"/>
  <c r="Z94" i="1"/>
  <c r="E83" i="1"/>
  <c r="E86" i="1" s="1"/>
  <c r="E95" i="1" s="1"/>
  <c r="Q83" i="1"/>
  <c r="Q86" i="1" s="1"/>
  <c r="R83" i="1"/>
  <c r="R86" i="1" s="1"/>
  <c r="H83" i="1"/>
  <c r="H86" i="1" s="1"/>
  <c r="S83" i="1"/>
  <c r="S86" i="1" s="1"/>
  <c r="G83" i="1"/>
  <c r="G86" i="1" s="1"/>
  <c r="M83" i="1"/>
  <c r="M86" i="1" s="1"/>
  <c r="L83" i="1"/>
  <c r="L86" i="1" s="1"/>
  <c r="N83" i="1"/>
  <c r="N86" i="1" s="1"/>
  <c r="O83" i="1"/>
  <c r="O86" i="1" s="1"/>
  <c r="E15" i="1"/>
  <c r="P15" i="1"/>
  <c r="Q15" i="1"/>
  <c r="R15" i="1"/>
  <c r="H15" i="1"/>
  <c r="S15" i="1"/>
  <c r="G15" i="1"/>
  <c r="L15" i="1"/>
  <c r="N15" i="1"/>
  <c r="O15" i="1"/>
  <c r="M15" i="1"/>
  <c r="E40" i="1"/>
  <c r="E96" i="1" s="1"/>
  <c r="P40" i="1"/>
  <c r="P96" i="1" s="1"/>
  <c r="Q40" i="1"/>
  <c r="Q96" i="1" s="1"/>
  <c r="R40" i="1"/>
  <c r="H40" i="1"/>
  <c r="H96" i="1" s="1"/>
  <c r="S40" i="1"/>
  <c r="S96" i="1" s="1"/>
  <c r="G40" i="1"/>
  <c r="G96" i="1" s="1"/>
  <c r="M40" i="1"/>
  <c r="M96" i="1" s="1"/>
  <c r="L40" i="1"/>
  <c r="L96" i="1" s="1"/>
  <c r="N40" i="1"/>
  <c r="N96" i="1" s="1"/>
  <c r="O40" i="1"/>
  <c r="O96" i="1" s="1"/>
  <c r="D40" i="1"/>
  <c r="D96" i="1" s="1"/>
  <c r="D95" i="1" l="1"/>
  <c r="D99" i="1" s="1"/>
  <c r="Z14" i="1"/>
  <c r="Z15" i="1" s="1"/>
  <c r="M95" i="1"/>
  <c r="M99" i="1" s="1"/>
  <c r="G93" i="1"/>
  <c r="G95" i="1" s="1"/>
  <c r="G99" i="1" s="1"/>
  <c r="Z92" i="1"/>
  <c r="H54" i="1"/>
  <c r="H55" i="1" s="1"/>
  <c r="L95" i="1"/>
  <c r="L99" i="1" s="1"/>
  <c r="N95" i="1"/>
  <c r="N99" i="1" s="1"/>
  <c r="Z44" i="1"/>
  <c r="Z54" i="1" s="1"/>
  <c r="L41" i="1"/>
  <c r="S41" i="1"/>
  <c r="S56" i="1" s="1"/>
  <c r="H41" i="1"/>
  <c r="G41" i="1"/>
  <c r="G56" i="1" s="1"/>
  <c r="S95" i="1"/>
  <c r="S99" i="1" s="1"/>
  <c r="H95" i="1"/>
  <c r="H99" i="1" s="1"/>
  <c r="R41" i="1"/>
  <c r="R56" i="1" s="1"/>
  <c r="R95" i="1"/>
  <c r="D15" i="1"/>
  <c r="Q95" i="1"/>
  <c r="Q99" i="1" s="1"/>
  <c r="Z83" i="1"/>
  <c r="Z86" i="1" s="1"/>
  <c r="M41" i="1"/>
  <c r="M56" i="1" s="1"/>
  <c r="O95" i="1"/>
  <c r="O99" i="1" s="1"/>
  <c r="P95" i="1"/>
  <c r="P99" i="1" s="1"/>
  <c r="N41" i="1"/>
  <c r="N56" i="1" s="1"/>
  <c r="E41" i="1"/>
  <c r="E56" i="1" s="1"/>
  <c r="E99" i="1"/>
  <c r="R96" i="1"/>
  <c r="Z96" i="1" s="1"/>
  <c r="E39" i="2"/>
  <c r="E41" i="2" s="1"/>
  <c r="E43" i="2" s="1"/>
  <c r="E17" i="2" s="1"/>
  <c r="O41" i="1"/>
  <c r="O56" i="1" s="1"/>
  <c r="Q41" i="1"/>
  <c r="Q56" i="1" s="1"/>
  <c r="P41" i="1"/>
  <c r="P56" i="1" s="1"/>
  <c r="D55" i="1"/>
  <c r="Z93" i="1" l="1"/>
  <c r="Z95" i="1" s="1"/>
  <c r="Z99" i="1" s="1"/>
  <c r="I21" i="2"/>
  <c r="Z41" i="1"/>
  <c r="Z55" i="1"/>
  <c r="L54" i="1"/>
  <c r="L55" i="1" s="1"/>
  <c r="L56" i="1" s="1"/>
  <c r="H56" i="1"/>
  <c r="R99" i="1"/>
  <c r="D41" i="1"/>
  <c r="E21" i="2"/>
  <c r="E3" i="2"/>
  <c r="E5" i="2" s="1"/>
  <c r="I3" i="2" l="1"/>
  <c r="I5" i="2" s="1"/>
  <c r="I16" i="2" s="1"/>
  <c r="I18" i="2" s="1"/>
  <c r="D56" i="1"/>
  <c r="Z56" i="1"/>
  <c r="I6" i="2" s="1"/>
  <c r="E6" i="2" l="1"/>
  <c r="E7" i="2" s="1"/>
  <c r="E10" i="2" s="1"/>
  <c r="E19" i="2" s="1"/>
  <c r="I7" i="2"/>
  <c r="I11" i="2"/>
  <c r="I13" i="2" s="1"/>
  <c r="I14" i="2" s="1"/>
  <c r="C7" i="13" l="1"/>
  <c r="I19" i="2"/>
  <c r="I22" i="2" s="1"/>
  <c r="I24" i="2" s="1"/>
  <c r="E22" i="2"/>
  <c r="E24" i="2" s="1"/>
  <c r="C8" i="13" l="1"/>
  <c r="C9" i="13" s="1"/>
  <c r="C10" i="13" s="1"/>
  <c r="C11" i="13" s="1"/>
  <c r="C12" i="13" s="1"/>
  <c r="C13" i="13" s="1"/>
  <c r="C14" i="13" s="1"/>
  <c r="C15" i="13" s="1"/>
  <c r="C16" i="13" s="1"/>
  <c r="C17" i="13" s="1"/>
  <c r="C18" i="13" s="1"/>
  <c r="C19" i="13" s="1"/>
  <c r="C20" i="13" s="1"/>
  <c r="C21" i="13" s="1"/>
  <c r="C22" i="13" s="1"/>
  <c r="C23" i="13" s="1"/>
  <c r="C24" i="13" s="1"/>
  <c r="C25" i="13" s="1"/>
  <c r="C26" i="13" s="1"/>
  <c r="C27" i="13" s="1"/>
  <c r="C28" i="13" s="1"/>
</calcChain>
</file>

<file path=xl/sharedStrings.xml><?xml version="1.0" encoding="utf-8"?>
<sst xmlns="http://schemas.openxmlformats.org/spreadsheetml/2006/main" count="345" uniqueCount="278">
  <si>
    <t>Ordinary Income/Expense</t>
  </si>
  <si>
    <t>Company Case</t>
  </si>
  <si>
    <t>Remove Proforma Plant</t>
  </si>
  <si>
    <t>Income</t>
  </si>
  <si>
    <t>400 · Operating Revenue</t>
  </si>
  <si>
    <t>460 - Unmetered</t>
  </si>
  <si>
    <t>461.1 · Metered Residential</t>
  </si>
  <si>
    <t>461.2 Metered-Commercial &amp; Industrial</t>
  </si>
  <si>
    <t>464 · Other Water Sales Revenue</t>
  </si>
  <si>
    <t>465  Irrigation Sales Revenue</t>
  </si>
  <si>
    <t>Total 400 · Operating Revenue</t>
  </si>
  <si>
    <t>Total Income</t>
  </si>
  <si>
    <t>Expense</t>
  </si>
  <si>
    <t>F</t>
  </si>
  <si>
    <t>601.1-6 Labor - Operation &amp; Maintenance</t>
  </si>
  <si>
    <t>601.7 Labor - Customer Accounts</t>
  </si>
  <si>
    <t>601.8 Labor - Administrative &amp; General</t>
  </si>
  <si>
    <t>603 Salaries - Officers &amp; Directors</t>
  </si>
  <si>
    <t>V</t>
  </si>
  <si>
    <t>610 · Purchased Water</t>
  </si>
  <si>
    <t>615-16 · Electrical Power &amp; Fuel for Power</t>
  </si>
  <si>
    <t>618 · Chemicals</t>
  </si>
  <si>
    <t>620.1-6 · M&amp;S - O&amp;M</t>
  </si>
  <si>
    <t>620.7-6 · M&amp;S - A&amp;G</t>
  </si>
  <si>
    <t>620.7 · Postage</t>
  </si>
  <si>
    <t>620.8 · Office</t>
  </si>
  <si>
    <t>620.81 · Telephone Expense</t>
  </si>
  <si>
    <t>620.82 · Bank service charges</t>
  </si>
  <si>
    <t>620.83 · Office Utilites Expense</t>
  </si>
  <si>
    <t>631.1-34 · Contracting Services - Professional</t>
  </si>
  <si>
    <t>635 · Contracting Services - Water Testing</t>
  </si>
  <si>
    <t>636 - Contracted Services - Other</t>
  </si>
  <si>
    <t>641-42 · Rental of Property &amp; Equipment</t>
  </si>
  <si>
    <t>650 · Transportation Expense</t>
  </si>
  <si>
    <t>656 · Insurance Expense</t>
  </si>
  <si>
    <t>666 Rate Case Expense (Amortization)</t>
  </si>
  <si>
    <t>667 Regulatory Comm. Exp (Other Except Taxes)</t>
  </si>
  <si>
    <t>675 · Miscellaneous</t>
  </si>
  <si>
    <t>Total Expense</t>
  </si>
  <si>
    <t>Net Ordinary Income</t>
  </si>
  <si>
    <t>Other Income/Expense</t>
  </si>
  <si>
    <t>Other Expense</t>
  </si>
  <si>
    <t>403 · Depreciation Expense</t>
  </si>
  <si>
    <t>408 · Taxes</t>
  </si>
  <si>
    <t>408.11 · Property Taxes</t>
  </si>
  <si>
    <t>408.12 · Payroll Taxes</t>
  </si>
  <si>
    <t>408.13 · Other Taxes</t>
  </si>
  <si>
    <t>Total 408 · Taxes</t>
  </si>
  <si>
    <t>Income Taxes</t>
  </si>
  <si>
    <t>408.10 · Regulatory Fee</t>
  </si>
  <si>
    <t>409.10 · Federal Income Tax</t>
  </si>
  <si>
    <t>409.11 · State Income Tax</t>
  </si>
  <si>
    <t>Total Other Expense</t>
  </si>
  <si>
    <t>Net Other Income</t>
  </si>
  <si>
    <t>NET Income</t>
  </si>
  <si>
    <t>Plant in Service</t>
  </si>
  <si>
    <t>Total</t>
  </si>
  <si>
    <t>301 - Organization</t>
  </si>
  <si>
    <t>302 - Franchises and Consents</t>
  </si>
  <si>
    <t>303 - Land &amp; Land Rights</t>
  </si>
  <si>
    <t>304 - Structures &amp; Improvements</t>
  </si>
  <si>
    <t>305 - Collecting &amp; Impounding Reserviors</t>
  </si>
  <si>
    <t>307 - Wells</t>
  </si>
  <si>
    <t>309 - Supply Mains</t>
  </si>
  <si>
    <t>310 - Generators</t>
  </si>
  <si>
    <t>311 - Pumps &amp; Accessories</t>
  </si>
  <si>
    <t>320 - Purification Systems</t>
  </si>
  <si>
    <t>330 - Distribution Reserviors &amp; Standpipes</t>
  </si>
  <si>
    <t>331 - Trans. &amp; Distrib. Mains &amp; Accessories</t>
  </si>
  <si>
    <t>332 - Services</t>
  </si>
  <si>
    <t>334 - Meters</t>
  </si>
  <si>
    <t>335 - Hydrants</t>
  </si>
  <si>
    <t>339 - Other Plant and Misc Equip</t>
  </si>
  <si>
    <t>340 - Office Equipment</t>
  </si>
  <si>
    <t>341 - Transportation Equipment</t>
  </si>
  <si>
    <t>345 - Power Operated Equipment</t>
  </si>
  <si>
    <t>346 - Communications Equipment</t>
  </si>
  <si>
    <t>347 - Miscellaneous Equipment</t>
  </si>
  <si>
    <t>348 - Other Tangible Property</t>
  </si>
  <si>
    <t>Total Plant in Service</t>
  </si>
  <si>
    <t>Less Accumulated Depreciation</t>
  </si>
  <si>
    <t>Net Plant in Service</t>
  </si>
  <si>
    <t>Less Contributions in Ad of Construction</t>
  </si>
  <si>
    <t>Gross Contributions (12/31/2021)</t>
  </si>
  <si>
    <t>Less Accumulated Amortization (12/31/2019)</t>
  </si>
  <si>
    <t>Net Contributions in Aid of Construction</t>
  </si>
  <si>
    <t>Working Capital (1/8 of Operation and Maintenance Expense)</t>
  </si>
  <si>
    <t>Materials and Supplies</t>
  </si>
  <si>
    <t>Deferred Taxes</t>
  </si>
  <si>
    <t>Total Rate Base</t>
  </si>
  <si>
    <t>CALCULATION OF REVENUE REQUIREMENT</t>
  </si>
  <si>
    <t>Company</t>
  </si>
  <si>
    <t>Staff</t>
  </si>
  <si>
    <t>Rate Base</t>
  </si>
  <si>
    <t>Required Rate of Return</t>
  </si>
  <si>
    <t>Net Operating Income Requirement</t>
  </si>
  <si>
    <t>Net Operating Income Realized</t>
  </si>
  <si>
    <t>Net Operating Income Deficiency</t>
  </si>
  <si>
    <t>Revenue to overcome Losses</t>
  </si>
  <si>
    <t>Regulatory Fees Gross up</t>
  </si>
  <si>
    <t>Revenue Needed to Overgcome Loss</t>
  </si>
  <si>
    <t>Net Operating Income Required</t>
  </si>
  <si>
    <t>Gross up Factor</t>
  </si>
  <si>
    <t>Revenue Requirement for NI</t>
  </si>
  <si>
    <t>Total Incremental Revenue Requirement</t>
  </si>
  <si>
    <t>Revenues at existing rates</t>
  </si>
  <si>
    <t>Total Revenue Requirement</t>
  </si>
  <si>
    <t>Percent Increase Required</t>
  </si>
  <si>
    <t>Net to Gross Multiplier</t>
  </si>
  <si>
    <t>Total Gross Revenues</t>
  </si>
  <si>
    <t>Less Regulatory Fees (percentage)</t>
  </si>
  <si>
    <t>Net Revenue</t>
  </si>
  <si>
    <t>State Income Tax Rate</t>
  </si>
  <si>
    <t>Federal Income Tax Base</t>
  </si>
  <si>
    <t>Federal Income Tax Rate</t>
  </si>
  <si>
    <t>Net Operating Revenue</t>
  </si>
  <si>
    <t>Net Income to Gross Revenue Multiplier</t>
  </si>
  <si>
    <t>CDS Stoneridge Utility Company</t>
  </si>
  <si>
    <t>EXHIBIT 3</t>
  </si>
  <si>
    <t>CAPITAL STRUCTURE AND OVERALL RATE OF RETURN</t>
  </si>
  <si>
    <t>(A)</t>
  </si>
  <si>
    <t>(B)</t>
  </si>
  <si>
    <t>(C)</t>
  </si>
  <si>
    <t>(D)</t>
  </si>
  <si>
    <t>Line No.</t>
  </si>
  <si>
    <t>Description</t>
  </si>
  <si>
    <t>Amount</t>
  </si>
  <si>
    <t>Percent of Total Capital</t>
  </si>
  <si>
    <t>Cost</t>
  </si>
  <si>
    <t>Component</t>
  </si>
  <si>
    <t xml:space="preserve">Long Term Debt </t>
  </si>
  <si>
    <t>Common Equity</t>
  </si>
  <si>
    <t>Capitalizing Repairs and Rebuild</t>
  </si>
  <si>
    <t>Power Normalization</t>
  </si>
  <si>
    <t>Dep Rate</t>
  </si>
  <si>
    <t>NARUC Life</t>
  </si>
  <si>
    <t>Difference</t>
  </si>
  <si>
    <t>Structures and Improvements</t>
  </si>
  <si>
    <t>Supply Mains</t>
  </si>
  <si>
    <t>Power Pumping Equipment</t>
  </si>
  <si>
    <t>Purification Systems</t>
  </si>
  <si>
    <t>Trans.&amp; Distribution Mains</t>
  </si>
  <si>
    <t>Services</t>
  </si>
  <si>
    <t>Meters and Meter Installations</t>
  </si>
  <si>
    <t xml:space="preserve">Fully Depreciated No Depreciation Expense. </t>
  </si>
  <si>
    <t>Hydrants</t>
  </si>
  <si>
    <t>Other Plant &amp; Misc. Equipment</t>
  </si>
  <si>
    <t>Dep Exp Per Company Books 2023</t>
  </si>
  <si>
    <t>Plant In Service</t>
  </si>
  <si>
    <t>Accumulated Depreciation</t>
  </si>
  <si>
    <t>Net Plant In Service</t>
  </si>
  <si>
    <t>Imputed Life from Company Books</t>
  </si>
  <si>
    <t>NARUC Depreciation  Rate</t>
  </si>
  <si>
    <t>Depreciation Expense</t>
  </si>
  <si>
    <t>Chemical Normalization</t>
  </si>
  <si>
    <t>Lease Agreement PR#39</t>
  </si>
  <si>
    <t>IN QB</t>
  </si>
  <si>
    <t>Increase $</t>
  </si>
  <si>
    <t>Increase %</t>
  </si>
  <si>
    <t>Allocated Costs</t>
  </si>
  <si>
    <t>Allocate Extras</t>
  </si>
  <si>
    <t>Lease Cost Per Item</t>
  </si>
  <si>
    <t>Items Remaining</t>
  </si>
  <si>
    <t>Adjustment per month</t>
  </si>
  <si>
    <t>Annual Adj</t>
  </si>
  <si>
    <t>Back Hoe</t>
  </si>
  <si>
    <t>Kubota UTV</t>
  </si>
  <si>
    <t>Ford F-150</t>
  </si>
  <si>
    <t>Ford Ranger</t>
  </si>
  <si>
    <t>Liscences and Fuel</t>
  </si>
  <si>
    <t>Postage</t>
  </si>
  <si>
    <t>Bonner County Bee</t>
  </si>
  <si>
    <t>River Valley Beacon</t>
  </si>
  <si>
    <t>Total Postage and Notice Costs</t>
  </si>
  <si>
    <t>Attorney Fees</t>
  </si>
  <si>
    <t>Hours</t>
  </si>
  <si>
    <t>Billed Hourly Rate</t>
  </si>
  <si>
    <t>Invoiced Amount</t>
  </si>
  <si>
    <t>Effective Hourly Rate</t>
  </si>
  <si>
    <t>Invoice #348465</t>
  </si>
  <si>
    <t>Invoice #348684</t>
  </si>
  <si>
    <t>Total Attorney Fees</t>
  </si>
  <si>
    <t>Total Incremental Rate Case Costs to Date</t>
  </si>
  <si>
    <t>Likely Additional Attorney Fees</t>
  </si>
  <si>
    <t>Total Incremental Rate Case Costs</t>
  </si>
  <si>
    <t>Five Year Amortization</t>
  </si>
  <si>
    <t>Monthly Salary</t>
  </si>
  <si>
    <t>Annual Salary</t>
  </si>
  <si>
    <t>Payroll taxes Increase</t>
  </si>
  <si>
    <t>Time used for Sewer Company</t>
  </si>
  <si>
    <t xml:space="preserve">Depreciation Rates </t>
  </si>
  <si>
    <t>Golf Course Revenue</t>
  </si>
  <si>
    <t xml:space="preserve">Annualizing Water Testing </t>
  </si>
  <si>
    <t xml:space="preserve">Moving Cust Acct to Actuals </t>
  </si>
  <si>
    <t xml:space="preserve">Moving Management to Actuals </t>
  </si>
  <si>
    <t xml:space="preserve">Moving O&amp;M To Actuals </t>
  </si>
  <si>
    <t>Contracting Services - Actual</t>
  </si>
  <si>
    <t xml:space="preserve">Remove Second Tax Prep </t>
  </si>
  <si>
    <t xml:space="preserve">Remove Misc Expense </t>
  </si>
  <si>
    <t xml:space="preserve">Remove 7B Invoice </t>
  </si>
  <si>
    <t>Remove Application Fee</t>
  </si>
  <si>
    <t xml:space="preserve">Removing ROW Lease </t>
  </si>
  <si>
    <t>Truck/UTV Lease</t>
  </si>
  <si>
    <t>Rental of Property</t>
  </si>
  <si>
    <t xml:space="preserve">Fair Share of Insurance </t>
  </si>
  <si>
    <t>Rate Case Costs</t>
  </si>
  <si>
    <t>July 24,2024</t>
  </si>
  <si>
    <t>Dear StoneRidge Water Company Customers.</t>
  </si>
  <si>
    <t xml:space="preserve">Dear StoneRidge Water Company customer, </t>
  </si>
  <si>
    <t>My company—Integrity Water Management was contracted within the last year to provide onsite Water System Management services to the StoneRidge water system.</t>
  </si>
  <si>
    <t>This last Sunday, the 21st of July, Inland Power experienced an electrical outage that affected most, if not all StoneRidge Water Company's service area for several hours.</t>
  </si>
  <si>
    <t>When the power was restored Sunday afternoon, we learned that the Water Company's #3 well did not come back online along with the #1 well.  Since Monday StoneRidge Water Company has been relying solely on Well #1 and its 30+ year old pump/controls to provide 100% of the water demand</t>
  </si>
  <si>
    <t>We are requesting an expedited review/approval from IPUC for this pump replacement request, we would encourage you to contact IPUC staff and support their Staff's expediting this approval.</t>
  </si>
  <si>
    <t>Please reduce all outdoor watering to the absolute minimum--no irrigation, no car washing, etc.no filling portable pools etc., until further notice.</t>
  </si>
  <si>
    <t>If you have any questions about this situation, please contact me.</t>
  </si>
  <si>
    <t xml:space="preserve">Bob Kuchenski    </t>
  </si>
  <si>
    <t xml:space="preserve">                    </t>
  </si>
  <si>
    <t>Bob "Kuch" Kuchenski</t>
  </si>
  <si>
    <t>***************************************</t>
  </si>
  <si>
    <t>Integrity Water Management, Inc.</t>
  </si>
  <si>
    <t>PO Box 468</t>
  </si>
  <si>
    <t>Athol, ID 83801</t>
  </si>
  <si>
    <t>(208)683-0500 office</t>
  </si>
  <si>
    <t>(208)659-4197 cell</t>
  </si>
  <si>
    <t>(208)683-1700 fax</t>
  </si>
  <si>
    <t xml:space="preserve">bobkuch@integritywater.net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</si>
  <si>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Distribution:</t>
  </si>
  <si>
    <t>Cost per Test</t>
  </si>
  <si>
    <t>Tests in 9 years</t>
  </si>
  <si>
    <t>Cost for 9 years</t>
  </si>
  <si>
    <t># in System</t>
  </si>
  <si>
    <t>Total Cost for 9 Years</t>
  </si>
  <si>
    <t>Annual Cost</t>
  </si>
  <si>
    <t>• Total Coliform – 1 routine sample per month from distribution</t>
  </si>
  <si>
    <t>• DBP2- Stage 2 – 1 set TTHM/HAA5 per year from distribution</t>
  </si>
  <si>
    <t>• Lead and Copper – 10 samples per 3 years from distribution</t>
  </si>
  <si>
    <t>Annualized Distribution testing</t>
  </si>
  <si>
    <t>Wellfield 1 and 2:</t>
  </si>
  <si>
    <t>• Nitrate – 1 sample per year</t>
  </si>
  <si>
    <t>• Nitrite – 1 sample per 9 years</t>
  </si>
  <si>
    <t>• Arsenic – 1 sample per 9 years</t>
  </si>
  <si>
    <t>• Fluoride – 1 sample per 9 years</t>
  </si>
  <si>
    <t>• Sodium- 1 sample per 3 years</t>
  </si>
  <si>
    <t>• Radionuclides – 1 sample per 9 years</t>
  </si>
  <si>
    <t>• VOC group – 1 sample per 6 years</t>
  </si>
  <si>
    <t>• Inorganics – 1 sample per 9 years</t>
  </si>
  <si>
    <t>Annualized Well Testing</t>
  </si>
  <si>
    <t>Total Annual Water Testing Expense</t>
  </si>
  <si>
    <t>qb amount</t>
  </si>
  <si>
    <t>calculated amount A6</t>
  </si>
  <si>
    <t>reduce</t>
  </si>
  <si>
    <t>1/1/23 JD Resort - pump repairs HVR booster site   131.1 WTB 1064 ckg</t>
  </si>
  <si>
    <t>3/13/23 Swank Excavating - repairs water main breaks Macklin &amp; Mt. view road   131.1 WTB 1064 ckg</t>
  </si>
  <si>
    <t xml:space="preserve">08/31/23 Swank Excavating -  jobsite: 2072 Blanchard Elk rd, repair 6" water main </t>
  </si>
  <si>
    <t>ROE</t>
  </si>
  <si>
    <t>Commission</t>
  </si>
  <si>
    <t>Filed Net Increase</t>
  </si>
  <si>
    <t>Adjustment Impact</t>
  </si>
  <si>
    <t>Net Rate Change</t>
  </si>
  <si>
    <t>Summary of Commission Adjustments</t>
  </si>
  <si>
    <t>Adjustment</t>
  </si>
  <si>
    <t>Company Application</t>
  </si>
  <si>
    <t>Staff Proposal</t>
  </si>
  <si>
    <t>Meter Size (in.)</t>
  </si>
  <si>
    <t>Customer Charge</t>
  </si>
  <si>
    <t>Commodity Rate</t>
  </si>
  <si>
    <t>Rate Proof</t>
  </si>
  <si>
    <t>METER SIZE (INCHES)</t>
  </si>
  <si>
    <t>ANNUAL CUSTOMER CHARGE REVENUE</t>
  </si>
  <si>
    <t>COMMODITY REVENUE</t>
  </si>
  <si>
    <t xml:space="preserve">ANNUAL REVENUE </t>
  </si>
  <si>
    <t>Vineyards Irrigation 2"*</t>
  </si>
  <si>
    <t>Golf Course 1.5"*</t>
  </si>
  <si>
    <t>TOTALS</t>
  </si>
  <si>
    <t>Commission  Revenue Requirement</t>
  </si>
  <si>
    <t>Commission Position</t>
  </si>
  <si>
    <t>Case No. SWS-W-24-01</t>
  </si>
  <si>
    <t xml:space="preserve">Final O.N. 36407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</si>
</sst>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* #,##0.000000_);_(* \(#,##0.000000\);_(* &quot;-&quot;??_);_(@_)"/>
    <numFmt numFmtId="167" formatCode="0.0%"/>
    <numFmt numFmtId="168" formatCode="_(* #,##0.0000_);_(* \(#,##0.0000\);_(* &quot;-&quot;??_);_(@_)"/>
    <numFmt numFmtId="169" formatCode="_(* #,##0.00000_);_(* \(#,##0.00000\);_(* &quot;-&quot;??_);_(@_)"/>
    <numFmt numFmtId="170" formatCode="0.000%"/>
    <numFmt numFmtId="171" formatCode="&quot;$&quot;#,##0"/>
    <numFmt numFmtId="172" formatCode="#,##0.00;\-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u/>
      <sz val="10"/>
      <name val="Arial"/>
      <family val="2"/>
    </font>
    <font>
      <sz val="11"/>
      <color indexed="8"/>
      <name val="Calibri"/>
      <family val="2"/>
      <scheme val="minor"/>
    </font>
    <font>
      <sz val="8"/>
      <color rgb="FF323232"/>
      <name val="Arial"/>
      <family val="2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Aptos"/>
      <family val="2"/>
    </font>
    <font>
      <b/>
      <sz val="12"/>
      <color theme="1"/>
      <name val="Times New Roman"/>
      <family val="1"/>
    </font>
    <font>
      <sz val="12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sz val="8"/>
      <color theme="1"/>
      <name val="Arial"/>
      <family val="2"/>
    </font>
    <font>
      <sz val="10"/>
      <color theme="1"/>
      <name val="Times New Roman"/>
      <family val="1"/>
    </font>
    <font>
      <b/>
      <sz val="16"/>
      <color theme="1"/>
      <name val="Calibri"/>
      <family val="2"/>
      <scheme val="minor"/>
    </font>
    <font>
      <sz val="11"/>
      <color theme="2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11" fillId="0" borderId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149">
    <xf numFmtId="0" fontId="0" fillId="0" borderId="0" xfId="0"/>
    <xf numFmtId="49" fontId="3" fillId="0" borderId="0" xfId="0" applyNumberFormat="1" applyFont="1"/>
    <xf numFmtId="164" fontId="5" fillId="0" borderId="0" xfId="1" applyNumberFormat="1" applyFont="1"/>
    <xf numFmtId="164" fontId="0" fillId="0" borderId="0" xfId="1" applyNumberFormat="1" applyFont="1"/>
    <xf numFmtId="164" fontId="6" fillId="0" borderId="0" xfId="1" applyNumberFormat="1" applyFont="1"/>
    <xf numFmtId="9" fontId="0" fillId="0" borderId="0" xfId="3" applyFont="1"/>
    <xf numFmtId="164" fontId="5" fillId="0" borderId="1" xfId="1" applyNumberFormat="1" applyFont="1" applyBorder="1"/>
    <xf numFmtId="164" fontId="5" fillId="0" borderId="2" xfId="1" applyNumberFormat="1" applyFont="1" applyBorder="1"/>
    <xf numFmtId="164" fontId="5" fillId="0" borderId="3" xfId="1" applyNumberFormat="1" applyFont="1" applyBorder="1"/>
    <xf numFmtId="49" fontId="7" fillId="0" borderId="0" xfId="0" applyNumberFormat="1" applyFont="1"/>
    <xf numFmtId="164" fontId="7" fillId="0" borderId="4" xfId="1" applyNumberFormat="1" applyFont="1" applyBorder="1"/>
    <xf numFmtId="164" fontId="6" fillId="0" borderId="2" xfId="1" applyNumberFormat="1" applyFont="1" applyBorder="1"/>
    <xf numFmtId="0" fontId="2" fillId="0" borderId="0" xfId="0" applyFont="1"/>
    <xf numFmtId="0" fontId="8" fillId="0" borderId="0" xfId="4" applyFont="1"/>
    <xf numFmtId="0" fontId="2" fillId="0" borderId="0" xfId="0" applyFont="1" applyAlignment="1">
      <alignment horizontal="right"/>
    </xf>
    <xf numFmtId="0" fontId="3" fillId="0" borderId="0" xfId="0" applyFont="1"/>
    <xf numFmtId="0" fontId="0" fillId="0" borderId="0" xfId="0" applyAlignment="1">
      <alignment horizontal="center"/>
    </xf>
    <xf numFmtId="164" fontId="0" fillId="0" borderId="0" xfId="0" applyNumberFormat="1"/>
    <xf numFmtId="164" fontId="4" fillId="0" borderId="0" xfId="1" applyNumberFormat="1" applyFont="1" applyFill="1" applyBorder="1"/>
    <xf numFmtId="164" fontId="0" fillId="0" borderId="0" xfId="1" applyNumberFormat="1" applyFont="1" applyAlignment="1">
      <alignment wrapText="1"/>
    </xf>
    <xf numFmtId="164" fontId="0" fillId="0" borderId="0" xfId="1" applyNumberFormat="1" applyFont="1" applyAlignment="1">
      <alignment horizontal="center"/>
    </xf>
    <xf numFmtId="164" fontId="4" fillId="0" borderId="0" xfId="1" applyNumberFormat="1" applyFont="1"/>
    <xf numFmtId="164" fontId="4" fillId="0" borderId="0" xfId="1" applyNumberFormat="1" applyFont="1" applyFill="1"/>
    <xf numFmtId="164" fontId="0" fillId="0" borderId="5" xfId="1" applyNumberFormat="1" applyFont="1" applyBorder="1"/>
    <xf numFmtId="164" fontId="0" fillId="0" borderId="2" xfId="1" applyNumberFormat="1" applyFont="1" applyBorder="1"/>
    <xf numFmtId="10" fontId="0" fillId="0" borderId="5" xfId="0" applyNumberFormat="1" applyBorder="1"/>
    <xf numFmtId="44" fontId="4" fillId="0" borderId="0" xfId="2" applyFont="1"/>
    <xf numFmtId="44" fontId="0" fillId="0" borderId="0" xfId="2" applyFont="1" applyBorder="1" applyAlignment="1"/>
    <xf numFmtId="165" fontId="0" fillId="0" borderId="0" xfId="0" applyNumberFormat="1"/>
    <xf numFmtId="167" fontId="0" fillId="0" borderId="0" xfId="3" applyNumberFormat="1" applyFont="1"/>
    <xf numFmtId="9" fontId="0" fillId="0" borderId="0" xfId="0" applyNumberFormat="1"/>
    <xf numFmtId="167" fontId="0" fillId="0" borderId="0" xfId="0" applyNumberFormat="1"/>
    <xf numFmtId="0" fontId="3" fillId="0" borderId="0" xfId="0" applyFont="1" applyAlignment="1">
      <alignment horizontal="centerContinuous"/>
    </xf>
    <xf numFmtId="168" fontId="3" fillId="0" borderId="0" xfId="1" applyNumberFormat="1" applyFont="1" applyAlignment="1">
      <alignment horizontal="centerContinuous"/>
    </xf>
    <xf numFmtId="168" fontId="4" fillId="0" borderId="0" xfId="1" applyNumberFormat="1" applyFont="1"/>
    <xf numFmtId="169" fontId="4" fillId="0" borderId="0" xfId="1" applyNumberFormat="1" applyFont="1"/>
    <xf numFmtId="166" fontId="4" fillId="0" borderId="0" xfId="1" applyNumberFormat="1" applyFont="1" applyFill="1"/>
    <xf numFmtId="166" fontId="8" fillId="0" borderId="0" xfId="1" applyNumberFormat="1" applyFont="1" applyFill="1"/>
    <xf numFmtId="166" fontId="4" fillId="0" borderId="0" xfId="1" applyNumberFormat="1" applyFont="1" applyFill="1" applyAlignment="1">
      <alignment horizontal="left"/>
    </xf>
    <xf numFmtId="170" fontId="0" fillId="0" borderId="0" xfId="3" applyNumberFormat="1" applyFont="1" applyFill="1"/>
    <xf numFmtId="166" fontId="10" fillId="0" borderId="0" xfId="1" applyNumberFormat="1" applyFont="1" applyFill="1"/>
    <xf numFmtId="170" fontId="0" fillId="0" borderId="0" xfId="0" applyNumberFormat="1"/>
    <xf numFmtId="169" fontId="4" fillId="0" borderId="0" xfId="1" applyNumberFormat="1" applyFont="1" applyFill="1"/>
    <xf numFmtId="10" fontId="0" fillId="0" borderId="0" xfId="3" applyNumberFormat="1" applyFont="1"/>
    <xf numFmtId="0" fontId="0" fillId="0" borderId="0" xfId="0" applyAlignment="1">
      <alignment horizontal="centerContinuous"/>
    </xf>
    <xf numFmtId="0" fontId="0" fillId="0" borderId="5" xfId="0" applyBorder="1" applyAlignment="1">
      <alignment horizontal="center" wrapText="1"/>
    </xf>
    <xf numFmtId="0" fontId="0" fillId="0" borderId="0" xfId="0" applyAlignment="1">
      <alignment horizontal="center" wrapText="1"/>
    </xf>
    <xf numFmtId="171" fontId="0" fillId="0" borderId="0" xfId="0" applyNumberFormat="1"/>
    <xf numFmtId="10" fontId="0" fillId="0" borderId="0" xfId="0" applyNumberFormat="1"/>
    <xf numFmtId="171" fontId="6" fillId="0" borderId="5" xfId="0" applyNumberFormat="1" applyFont="1" applyBorder="1"/>
    <xf numFmtId="10" fontId="6" fillId="0" borderId="5" xfId="0" applyNumberFormat="1" applyFont="1" applyBorder="1"/>
    <xf numFmtId="171" fontId="10" fillId="0" borderId="0" xfId="0" applyNumberFormat="1" applyFont="1"/>
    <xf numFmtId="10" fontId="10" fillId="0" borderId="0" xfId="0" applyNumberFormat="1" applyFont="1"/>
    <xf numFmtId="164" fontId="4" fillId="0" borderId="2" xfId="1" applyNumberFormat="1" applyFont="1" applyBorder="1"/>
    <xf numFmtId="164" fontId="0" fillId="0" borderId="0" xfId="1" applyNumberFormat="1" applyFont="1" applyBorder="1" applyAlignment="1"/>
    <xf numFmtId="164" fontId="4" fillId="0" borderId="0" xfId="1" applyNumberFormat="1" applyFont="1" applyBorder="1"/>
    <xf numFmtId="169" fontId="0" fillId="0" borderId="5" xfId="1" applyNumberFormat="1" applyFont="1" applyBorder="1"/>
    <xf numFmtId="164" fontId="0" fillId="0" borderId="0" xfId="1" applyNumberFormat="1" applyFont="1" applyBorder="1"/>
    <xf numFmtId="164" fontId="0" fillId="0" borderId="0" xfId="1" applyNumberFormat="1" applyFont="1" applyAlignment="1">
      <alignment horizontal="center" wrapText="1"/>
    </xf>
    <xf numFmtId="0" fontId="0" fillId="0" borderId="0" xfId="1" applyNumberFormat="1" applyFont="1" applyAlignment="1">
      <alignment horizontal="center"/>
    </xf>
    <xf numFmtId="43" fontId="0" fillId="0" borderId="0" xfId="0" applyNumberFormat="1"/>
    <xf numFmtId="10" fontId="0" fillId="0" borderId="5" xfId="3" applyNumberFormat="1" applyFont="1" applyBorder="1"/>
    <xf numFmtId="4" fontId="0" fillId="0" borderId="0" xfId="0" applyNumberFormat="1"/>
    <xf numFmtId="164" fontId="0" fillId="0" borderId="0" xfId="1" applyNumberFormat="1" applyFont="1" applyFill="1" applyAlignment="1">
      <alignment horizontal="center" wrapText="1"/>
    </xf>
    <xf numFmtId="3" fontId="0" fillId="0" borderId="0" xfId="0" applyNumberFormat="1"/>
    <xf numFmtId="164" fontId="0" fillId="0" borderId="0" xfId="1" applyNumberFormat="1" applyFont="1" applyAlignment="1"/>
    <xf numFmtId="169" fontId="0" fillId="0" borderId="0" xfId="1" applyNumberFormat="1" applyFont="1"/>
    <xf numFmtId="172" fontId="12" fillId="0" borderId="0" xfId="0" applyNumberFormat="1" applyFont="1"/>
    <xf numFmtId="172" fontId="0" fillId="0" borderId="0" xfId="0" applyNumberFormat="1"/>
    <xf numFmtId="164" fontId="0" fillId="0" borderId="0" xfId="1" applyNumberFormat="1" applyFont="1" applyBorder="1" applyAlignment="1">
      <alignment horizontal="center"/>
    </xf>
    <xf numFmtId="0" fontId="13" fillId="0" borderId="0" xfId="0" applyFont="1"/>
    <xf numFmtId="164" fontId="13" fillId="0" borderId="0" xfId="1" applyNumberFormat="1" applyFont="1"/>
    <xf numFmtId="9" fontId="13" fillId="0" borderId="0" xfId="3" applyFont="1"/>
    <xf numFmtId="0" fontId="14" fillId="0" borderId="0" xfId="0" applyFont="1"/>
    <xf numFmtId="164" fontId="14" fillId="0" borderId="0" xfId="1" applyNumberFormat="1" applyFont="1"/>
    <xf numFmtId="10" fontId="13" fillId="0" borderId="0" xfId="3" applyNumberFormat="1" applyFont="1"/>
    <xf numFmtId="43" fontId="13" fillId="0" borderId="0" xfId="0" applyNumberFormat="1" applyFont="1"/>
    <xf numFmtId="164" fontId="13" fillId="0" borderId="0" xfId="0" applyNumberFormat="1" applyFont="1"/>
    <xf numFmtId="164" fontId="13" fillId="0" borderId="2" xfId="1" applyNumberFormat="1" applyFont="1" applyBorder="1"/>
    <xf numFmtId="0" fontId="13" fillId="0" borderId="0" xfId="0" applyFont="1" applyAlignment="1">
      <alignment horizontal="center" wrapText="1"/>
    </xf>
    <xf numFmtId="164" fontId="13" fillId="0" borderId="0" xfId="1" applyNumberFormat="1" applyFont="1" applyAlignment="1">
      <alignment horizontal="center" wrapText="1"/>
    </xf>
    <xf numFmtId="9" fontId="13" fillId="0" borderId="0" xfId="3" applyFont="1" applyAlignment="1">
      <alignment horizontal="center" wrapText="1"/>
    </xf>
    <xf numFmtId="43" fontId="0" fillId="0" borderId="0" xfId="1" applyFont="1"/>
    <xf numFmtId="170" fontId="0" fillId="0" borderId="0" xfId="3" applyNumberFormat="1" applyFont="1"/>
    <xf numFmtId="0" fontId="0" fillId="0" borderId="0" xfId="0" applyAlignment="1">
      <alignment wrapText="1"/>
    </xf>
    <xf numFmtId="0" fontId="15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8" fillId="0" borderId="0" xfId="10" applyAlignment="1">
      <alignment vertical="center" wrapText="1"/>
    </xf>
    <xf numFmtId="0" fontId="19" fillId="0" borderId="0" xfId="0" applyFont="1"/>
    <xf numFmtId="164" fontId="19" fillId="0" borderId="0" xfId="1" applyNumberFormat="1" applyFont="1" applyAlignment="1">
      <alignment horizontal="center" wrapText="1"/>
    </xf>
    <xf numFmtId="0" fontId="19" fillId="0" borderId="0" xfId="0" applyFont="1" applyAlignment="1">
      <alignment horizontal="center" wrapText="1"/>
    </xf>
    <xf numFmtId="164" fontId="19" fillId="0" borderId="0" xfId="1" applyNumberFormat="1" applyFont="1"/>
    <xf numFmtId="164" fontId="19" fillId="0" borderId="2" xfId="1" applyNumberFormat="1" applyFont="1" applyBorder="1"/>
    <xf numFmtId="0" fontId="20" fillId="0" borderId="0" xfId="0" applyFont="1"/>
    <xf numFmtId="0" fontId="0" fillId="0" borderId="0" xfId="0" applyAlignment="1">
      <alignment horizontal="left"/>
    </xf>
    <xf numFmtId="165" fontId="0" fillId="0" borderId="0" xfId="2" applyNumberFormat="1" applyFont="1"/>
    <xf numFmtId="164" fontId="0" fillId="0" borderId="7" xfId="1" applyNumberFormat="1" applyFont="1" applyBorder="1" applyAlignment="1">
      <alignment horizontal="left"/>
    </xf>
    <xf numFmtId="165" fontId="0" fillId="0" borderId="8" xfId="2" applyNumberFormat="1" applyFont="1" applyBorder="1"/>
    <xf numFmtId="165" fontId="0" fillId="0" borderId="9" xfId="2" applyNumberFormat="1" applyFont="1" applyBorder="1"/>
    <xf numFmtId="164" fontId="0" fillId="0" borderId="6" xfId="1" applyNumberFormat="1" applyFont="1" applyBorder="1" applyAlignment="1">
      <alignment horizontal="left"/>
    </xf>
    <xf numFmtId="165" fontId="0" fillId="0" borderId="6" xfId="2" applyNumberFormat="1" applyFont="1" applyBorder="1"/>
    <xf numFmtId="164" fontId="0" fillId="0" borderId="6" xfId="1" applyNumberFormat="1" applyFont="1" applyFill="1" applyBorder="1" applyAlignment="1">
      <alignment horizontal="left"/>
    </xf>
    <xf numFmtId="164" fontId="0" fillId="0" borderId="0" xfId="1" applyNumberFormat="1" applyFont="1" applyFill="1"/>
    <xf numFmtId="0" fontId="2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21" fillId="0" borderId="15" xfId="0" applyFont="1" applyBorder="1" applyAlignment="1">
      <alignment horizontal="center"/>
    </xf>
    <xf numFmtId="8" fontId="0" fillId="0" borderId="13" xfId="0" applyNumberFormat="1" applyBorder="1"/>
    <xf numFmtId="8" fontId="0" fillId="0" borderId="14" xfId="0" applyNumberFormat="1" applyBorder="1"/>
    <xf numFmtId="44" fontId="0" fillId="0" borderId="13" xfId="0" applyNumberFormat="1" applyBorder="1"/>
    <xf numFmtId="44" fontId="0" fillId="0" borderId="14" xfId="0" applyNumberFormat="1" applyBorder="1"/>
    <xf numFmtId="0" fontId="21" fillId="0" borderId="16" xfId="0" applyFont="1" applyBorder="1" applyAlignment="1">
      <alignment horizontal="center"/>
    </xf>
    <xf numFmtId="8" fontId="0" fillId="0" borderId="17" xfId="0" applyNumberFormat="1" applyBorder="1"/>
    <xf numFmtId="8" fontId="0" fillId="0" borderId="18" xfId="0" applyNumberFormat="1" applyBorder="1"/>
    <xf numFmtId="44" fontId="0" fillId="0" borderId="17" xfId="0" applyNumberFormat="1" applyBorder="1"/>
    <xf numFmtId="44" fontId="0" fillId="0" borderId="18" xfId="0" applyNumberFormat="1" applyBorder="1"/>
    <xf numFmtId="0" fontId="2" fillId="0" borderId="20" xfId="0" applyFont="1" applyBorder="1" applyAlignment="1">
      <alignment horizontal="center" wrapText="1"/>
    </xf>
    <xf numFmtId="0" fontId="2" fillId="0" borderId="21" xfId="0" applyFont="1" applyBorder="1" applyAlignment="1">
      <alignment horizontal="center" wrapText="1"/>
    </xf>
    <xf numFmtId="0" fontId="2" fillId="0" borderId="22" xfId="0" applyFont="1" applyBorder="1" applyAlignment="1">
      <alignment horizontal="center" wrapText="1"/>
    </xf>
    <xf numFmtId="0" fontId="2" fillId="0" borderId="23" xfId="0" applyFont="1" applyBorder="1" applyAlignment="1">
      <alignment horizontal="center" wrapText="1"/>
    </xf>
    <xf numFmtId="0" fontId="2" fillId="0" borderId="24" xfId="0" applyFont="1" applyBorder="1" applyAlignment="1">
      <alignment horizontal="center" wrapText="1"/>
    </xf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15" xfId="0" applyBorder="1" applyAlignment="1">
      <alignment horizontal="center"/>
    </xf>
    <xf numFmtId="44" fontId="0" fillId="0" borderId="9" xfId="2" applyFont="1" applyBorder="1"/>
    <xf numFmtId="44" fontId="0" fillId="0" borderId="6" xfId="2" applyFont="1" applyBorder="1"/>
    <xf numFmtId="44" fontId="0" fillId="0" borderId="14" xfId="2" applyFont="1" applyBorder="1"/>
    <xf numFmtId="44" fontId="0" fillId="0" borderId="0" xfId="2" applyFont="1"/>
    <xf numFmtId="9" fontId="23" fillId="0" borderId="15" xfId="3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44" fontId="0" fillId="0" borderId="28" xfId="0" applyNumberFormat="1" applyBorder="1"/>
    <xf numFmtId="44" fontId="0" fillId="0" borderId="29" xfId="0" applyNumberFormat="1" applyBorder="1"/>
    <xf numFmtId="44" fontId="0" fillId="0" borderId="0" xfId="0" applyNumberFormat="1"/>
    <xf numFmtId="0" fontId="0" fillId="0" borderId="0" xfId="0" applyAlignment="1">
      <alignment horizontal="right"/>
    </xf>
    <xf numFmtId="44" fontId="0" fillId="0" borderId="30" xfId="2" applyFont="1" applyBorder="1"/>
    <xf numFmtId="44" fontId="0" fillId="0" borderId="20" xfId="0" applyNumberFormat="1" applyBorder="1"/>
    <xf numFmtId="0" fontId="13" fillId="0" borderId="0" xfId="0" applyFont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2" fillId="0" borderId="19" xfId="0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11">
    <cellStyle name="Comma" xfId="1" builtinId="3"/>
    <cellStyle name="Comma 2" xfId="6" xr:uid="{D706E28C-2842-4DAB-89CB-D5D7B9D32CE6}"/>
    <cellStyle name="Currency" xfId="2" builtinId="4"/>
    <cellStyle name="Currency 2" xfId="9" xr:uid="{12338B22-1819-4060-B219-962576DC2302}"/>
    <cellStyle name="Hyperlink" xfId="10" builtinId="8"/>
    <cellStyle name="Normal" xfId="0" builtinId="0"/>
    <cellStyle name="Normal 2" xfId="4" xr:uid="{30BAB18A-11EA-4BF3-AD38-1FB532004A8D}"/>
    <cellStyle name="Normal 2 5" xfId="7" xr:uid="{12D03922-4C0D-4C7F-BE54-73C31EE9DB47}"/>
    <cellStyle name="Normal 3" xfId="8" xr:uid="{ED3255A7-3F82-4CFA-94E3-2AA92DDFA113}"/>
    <cellStyle name="Normal 3 2" xfId="5" xr:uid="{23B118FA-3C87-403E-9B59-CFB723903DAD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115933</xdr:colOff>
      <xdr:row>30</xdr:row>
      <xdr:rowOff>798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1B41EBC-CC5B-4167-8894-8B446851B5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698333" cy="571579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10</xdr:col>
      <xdr:colOff>376294</xdr:colOff>
      <xdr:row>55</xdr:row>
      <xdr:rowOff>120664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F8F0BD-906D-4B03-AD92-613AD76CD9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715000"/>
          <a:ext cx="6470389" cy="48850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428625</xdr:colOff>
      <xdr:row>35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55A737E-CB62-4E60-8AAD-5258A7A7C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61120" cy="670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hawker\AppData\Local\Microsoft\Windows\INetCache\Content.Outlook\6QQNQ71G\SWS-W-24-01%20Rate%20Design%20Comm.xlsx" TargetMode="External"/><Relationship Id="rId1" Type="http://schemas.openxmlformats.org/officeDocument/2006/relationships/externalLinkPath" Target="file:///C:\Users\khawker\AppData\Local\Microsoft\Windows\INetCache\Content.Outlook\6QQNQ71G\SWS-W-24-01%20Rate%20Design%20Com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mm "/>
      <sheetName val="Attachment 3"/>
      <sheetName val="COMMENT ATTACHMENT"/>
      <sheetName val="BILL COUNT SUMMARY"/>
      <sheetName val="COMMENTS ROUGH DRAFT"/>
      <sheetName val="PRESENT &amp; PROPOSED &amp; ALT RATE "/>
      <sheetName val="PRESENT &amp; PROPOSED RATES"/>
      <sheetName val="Low Base scenario"/>
      <sheetName val="Sheet2"/>
      <sheetName val="Exhibit 5 Sched A Rate Design"/>
      <sheetName val="OTHER COMPANIES' RATES"/>
    </sheetNames>
    <sheetDataSet>
      <sheetData sheetId="0">
        <row r="6">
          <cell r="M6">
            <v>117230.39999999999</v>
          </cell>
          <cell r="O6">
            <v>37892.831110000006</v>
          </cell>
          <cell r="P6">
            <v>155123.23110999999</v>
          </cell>
        </row>
        <row r="7">
          <cell r="M7">
            <v>334.94399999999996</v>
          </cell>
          <cell r="O7">
            <v>375.77693000000005</v>
          </cell>
          <cell r="P7">
            <v>710.72092999999995</v>
          </cell>
        </row>
        <row r="8">
          <cell r="M8">
            <v>5359.1039999999994</v>
          </cell>
          <cell r="O8">
            <v>624.76360000000011</v>
          </cell>
          <cell r="P8">
            <v>5983.8675999999996</v>
          </cell>
        </row>
        <row r="9">
          <cell r="M9">
            <v>28582.446239999997</v>
          </cell>
          <cell r="O9">
            <v>9326.4342700000016</v>
          </cell>
          <cell r="P9">
            <v>37908.880510000003</v>
          </cell>
        </row>
        <row r="10">
          <cell r="M10">
            <v>8336.5468199999996</v>
          </cell>
          <cell r="O10">
            <v>3213.8574600000002</v>
          </cell>
          <cell r="P10">
            <v>11550.404279999999</v>
          </cell>
        </row>
        <row r="11">
          <cell r="M11">
            <v>0</v>
          </cell>
        </row>
        <row r="12">
          <cell r="M12">
            <v>0</v>
          </cell>
        </row>
        <row r="13">
          <cell r="M13">
            <v>0</v>
          </cell>
        </row>
        <row r="14">
          <cell r="M14">
            <v>21436.415999999997</v>
          </cell>
          <cell r="O14">
            <v>7696.5362900000009</v>
          </cell>
          <cell r="P14">
            <v>29132.952289999997</v>
          </cell>
        </row>
        <row r="15">
          <cell r="M15">
            <v>781.53599999999994</v>
          </cell>
          <cell r="O15">
            <v>32073.221571130001</v>
          </cell>
          <cell r="P15">
            <v>32854.757571130001</v>
          </cell>
        </row>
        <row r="23">
          <cell r="L23">
            <v>87</v>
          </cell>
          <cell r="M23">
            <v>2.94</v>
          </cell>
          <cell r="O23">
            <v>27.911999999999999</v>
          </cell>
          <cell r="P23">
            <v>0.91877000000000009</v>
          </cell>
        </row>
        <row r="24">
          <cell r="L24">
            <v>154</v>
          </cell>
          <cell r="M24">
            <v>2.94</v>
          </cell>
          <cell r="O24">
            <v>27.911999999999999</v>
          </cell>
          <cell r="P24">
            <v>0.91877000000000009</v>
          </cell>
        </row>
        <row r="25">
          <cell r="L25">
            <v>347</v>
          </cell>
          <cell r="M25">
            <v>2.94</v>
          </cell>
          <cell r="O25">
            <v>111.648</v>
          </cell>
          <cell r="P25">
            <v>0.91877000000000009</v>
          </cell>
        </row>
        <row r="26">
          <cell r="L26">
            <v>616</v>
          </cell>
          <cell r="M26">
            <v>2.94</v>
          </cell>
          <cell r="O26">
            <v>198.48920999999999</v>
          </cell>
          <cell r="P26">
            <v>0.91877000000000009</v>
          </cell>
        </row>
        <row r="27">
          <cell r="L27">
            <v>963</v>
          </cell>
          <cell r="M27">
            <v>2.94</v>
          </cell>
          <cell r="O27">
            <v>310.13721000000004</v>
          </cell>
          <cell r="P27">
            <v>0.91877000000000009</v>
          </cell>
        </row>
        <row r="28">
          <cell r="L28">
            <v>1386</v>
          </cell>
          <cell r="M28">
            <v>2.94</v>
          </cell>
          <cell r="O28">
            <v>446.59199999999998</v>
          </cell>
          <cell r="P28">
            <v>0.91877000000000009</v>
          </cell>
        </row>
        <row r="29">
          <cell r="L29">
            <v>2464</v>
          </cell>
          <cell r="M29">
            <v>2.94</v>
          </cell>
          <cell r="O29">
            <v>793.94520999999997</v>
          </cell>
          <cell r="P29">
            <v>0.91877000000000009</v>
          </cell>
        </row>
        <row r="30">
          <cell r="L30">
            <v>5546</v>
          </cell>
          <cell r="M30">
            <v>2.94</v>
          </cell>
          <cell r="O30">
            <v>1786.3679999999999</v>
          </cell>
          <cell r="P30">
            <v>0.91877000000000009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bobkuch@integritywater.net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C0686-2698-4327-9FAB-7E85F0DF4950}">
  <dimension ref="A1:C28"/>
  <sheetViews>
    <sheetView workbookViewId="0">
      <selection activeCell="C3" sqref="C3"/>
    </sheetView>
  </sheetViews>
  <sheetFormatPr defaultRowHeight="14.4" x14ac:dyDescent="0.3"/>
  <cols>
    <col min="1" max="1" width="31.44140625" style="97" bestFit="1" customWidth="1"/>
    <col min="2" max="2" width="19.88671875" style="98" bestFit="1" customWidth="1"/>
    <col min="3" max="3" width="17.6640625" style="98" bestFit="1" customWidth="1"/>
  </cols>
  <sheetData>
    <row r="1" spans="1:3" ht="17.25" customHeight="1" x14ac:dyDescent="0.3">
      <c r="A1" s="140" t="s">
        <v>277</v>
      </c>
    </row>
    <row r="2" spans="1:3" ht="15.6" x14ac:dyDescent="0.3">
      <c r="A2" s="140" t="s">
        <v>276</v>
      </c>
    </row>
    <row r="4" spans="1:3" x14ac:dyDescent="0.3">
      <c r="A4" s="141" t="s">
        <v>259</v>
      </c>
      <c r="B4" s="142"/>
      <c r="C4" s="143"/>
    </row>
    <row r="5" spans="1:3" x14ac:dyDescent="0.3">
      <c r="A5" s="99" t="s">
        <v>256</v>
      </c>
      <c r="B5" s="100"/>
      <c r="C5" s="101">
        <v>555190.31886191748</v>
      </c>
    </row>
    <row r="6" spans="1:3" x14ac:dyDescent="0.3">
      <c r="A6" s="102" t="s">
        <v>260</v>
      </c>
      <c r="B6" s="103" t="s">
        <v>257</v>
      </c>
      <c r="C6" s="103" t="s">
        <v>258</v>
      </c>
    </row>
    <row r="7" spans="1:3" x14ac:dyDescent="0.3">
      <c r="A7" s="102" t="s">
        <v>254</v>
      </c>
      <c r="B7" s="103">
        <v>-18421.323922810727</v>
      </c>
      <c r="C7" s="103">
        <f>B7+C5</f>
        <v>536768.99493910675</v>
      </c>
    </row>
    <row r="8" spans="1:3" x14ac:dyDescent="0.3">
      <c r="A8" s="102" t="s">
        <v>102</v>
      </c>
      <c r="B8" s="103">
        <v>-112389.4417268075</v>
      </c>
      <c r="C8" s="103">
        <f t="shared" ref="C8:C28" si="0">B8+C7</f>
        <v>424379.55321229924</v>
      </c>
    </row>
    <row r="9" spans="1:3" x14ac:dyDescent="0.3">
      <c r="A9" s="102" t="s">
        <v>2</v>
      </c>
      <c r="B9" s="103">
        <v>-182348.71031382971</v>
      </c>
      <c r="C9" s="103">
        <f t="shared" si="0"/>
        <v>242030.84289846953</v>
      </c>
    </row>
    <row r="10" spans="1:3" x14ac:dyDescent="0.3">
      <c r="A10" s="102" t="s">
        <v>190</v>
      </c>
      <c r="B10" s="103">
        <v>-8023.8677667398561</v>
      </c>
      <c r="C10" s="103">
        <f t="shared" si="0"/>
        <v>234006.97513172968</v>
      </c>
    </row>
    <row r="11" spans="1:3" x14ac:dyDescent="0.3">
      <c r="A11" s="102" t="s">
        <v>132</v>
      </c>
      <c r="B11" s="103">
        <v>-15264.579247412556</v>
      </c>
      <c r="C11" s="103">
        <f t="shared" si="0"/>
        <v>218742.39588431711</v>
      </c>
    </row>
    <row r="12" spans="1:3" x14ac:dyDescent="0.3">
      <c r="A12" s="102" t="s">
        <v>191</v>
      </c>
      <c r="B12" s="103">
        <v>-54.263094702433591</v>
      </c>
      <c r="C12" s="103">
        <f t="shared" si="0"/>
        <v>218688.13278961467</v>
      </c>
    </row>
    <row r="13" spans="1:3" x14ac:dyDescent="0.3">
      <c r="A13" s="104" t="s">
        <v>154</v>
      </c>
      <c r="B13" s="103">
        <v>52.95172716288004</v>
      </c>
      <c r="C13" s="103">
        <f t="shared" si="0"/>
        <v>218741.08451677754</v>
      </c>
    </row>
    <row r="14" spans="1:3" x14ac:dyDescent="0.3">
      <c r="A14" s="104" t="s">
        <v>133</v>
      </c>
      <c r="B14" s="103">
        <v>8014.6482573568974</v>
      </c>
      <c r="C14" s="103">
        <f t="shared" si="0"/>
        <v>226755.73277413443</v>
      </c>
    </row>
    <row r="15" spans="1:3" x14ac:dyDescent="0.3">
      <c r="A15" s="104" t="s">
        <v>192</v>
      </c>
      <c r="B15" s="103">
        <v>1348.9787760859647</v>
      </c>
      <c r="C15" s="103">
        <f t="shared" si="0"/>
        <v>228104.71155022041</v>
      </c>
    </row>
    <row r="16" spans="1:3" x14ac:dyDescent="0.3">
      <c r="A16" s="102" t="s">
        <v>194</v>
      </c>
      <c r="B16" s="103">
        <v>-35114.797665869948</v>
      </c>
      <c r="C16" s="103">
        <f t="shared" si="0"/>
        <v>192989.91388435045</v>
      </c>
    </row>
    <row r="17" spans="1:3" x14ac:dyDescent="0.3">
      <c r="A17" s="102" t="s">
        <v>193</v>
      </c>
      <c r="B17" s="103">
        <v>-19268.658046262139</v>
      </c>
      <c r="C17" s="103">
        <f t="shared" si="0"/>
        <v>173721.25583808831</v>
      </c>
    </row>
    <row r="18" spans="1:3" x14ac:dyDescent="0.3">
      <c r="A18" s="104" t="s">
        <v>195</v>
      </c>
      <c r="B18" s="103">
        <v>-69425.931973049868</v>
      </c>
      <c r="C18" s="103">
        <f t="shared" si="0"/>
        <v>104295.32386503844</v>
      </c>
    </row>
    <row r="19" spans="1:3" x14ac:dyDescent="0.3">
      <c r="A19" s="104" t="s">
        <v>196</v>
      </c>
      <c r="B19" s="103">
        <v>24819.852160191083</v>
      </c>
      <c r="C19" s="103">
        <f t="shared" si="0"/>
        <v>129115.17602522954</v>
      </c>
    </row>
    <row r="20" spans="1:3" x14ac:dyDescent="0.3">
      <c r="A20" s="102" t="s">
        <v>197</v>
      </c>
      <c r="B20" s="103">
        <v>-888.96318625326228</v>
      </c>
      <c r="C20" s="103">
        <f t="shared" si="0"/>
        <v>128226.21283897628</v>
      </c>
    </row>
    <row r="21" spans="1:3" x14ac:dyDescent="0.3">
      <c r="A21" s="102" t="s">
        <v>198</v>
      </c>
      <c r="B21" s="103">
        <v>-1065.760184735311</v>
      </c>
      <c r="C21" s="103">
        <f t="shared" si="0"/>
        <v>127160.45265424097</v>
      </c>
    </row>
    <row r="22" spans="1:3" x14ac:dyDescent="0.3">
      <c r="A22" s="102" t="s">
        <v>199</v>
      </c>
      <c r="B22" s="103">
        <v>-5892.5559774501953</v>
      </c>
      <c r="C22" s="103">
        <f t="shared" si="0"/>
        <v>121267.89667679078</v>
      </c>
    </row>
    <row r="23" spans="1:3" x14ac:dyDescent="0.3">
      <c r="A23" s="102" t="s">
        <v>200</v>
      </c>
      <c r="B23" s="103">
        <v>-320.68209080714678</v>
      </c>
      <c r="C23" s="103">
        <f t="shared" si="0"/>
        <v>120947.21458598363</v>
      </c>
    </row>
    <row r="24" spans="1:3" x14ac:dyDescent="0.3">
      <c r="A24" s="104" t="s">
        <v>201</v>
      </c>
      <c r="B24" s="103">
        <v>-30715.456011422717</v>
      </c>
      <c r="C24" s="103">
        <f t="shared" si="0"/>
        <v>90231.75857456091</v>
      </c>
    </row>
    <row r="25" spans="1:3" x14ac:dyDescent="0.3">
      <c r="A25" s="104" t="s">
        <v>202</v>
      </c>
      <c r="B25" s="103">
        <v>-14896.90980911621</v>
      </c>
      <c r="C25" s="103">
        <f t="shared" si="0"/>
        <v>75334.848765444694</v>
      </c>
    </row>
    <row r="26" spans="1:3" x14ac:dyDescent="0.3">
      <c r="A26" s="104" t="s">
        <v>203</v>
      </c>
      <c r="B26" s="103">
        <v>-13831.251220173614</v>
      </c>
      <c r="C26" s="103">
        <f t="shared" si="0"/>
        <v>61503.597545271085</v>
      </c>
    </row>
    <row r="27" spans="1:3" x14ac:dyDescent="0.3">
      <c r="A27" s="104" t="s">
        <v>204</v>
      </c>
      <c r="B27" s="103">
        <v>4613.6342768342738</v>
      </c>
      <c r="C27" s="103">
        <f t="shared" si="0"/>
        <v>66117.231822105357</v>
      </c>
    </row>
    <row r="28" spans="1:3" x14ac:dyDescent="0.3">
      <c r="A28" s="104" t="s">
        <v>205</v>
      </c>
      <c r="B28" s="103">
        <v>2144.5178545448121</v>
      </c>
      <c r="C28" s="103">
        <f t="shared" si="0"/>
        <v>68261.749676650172</v>
      </c>
    </row>
  </sheetData>
  <mergeCells count="1">
    <mergeCell ref="A4:C4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F6926-74C6-4BEE-83B2-28AEE0919322}">
  <dimension ref="A3:N13"/>
  <sheetViews>
    <sheetView workbookViewId="0">
      <selection activeCell="L11" sqref="L11"/>
    </sheetView>
  </sheetViews>
  <sheetFormatPr defaultColWidth="9.109375" defaultRowHeight="15.6" x14ac:dyDescent="0.3"/>
  <cols>
    <col min="1" max="1" width="9.109375" style="70"/>
    <col min="2" max="2" width="35.44140625" style="70" bestFit="1" customWidth="1"/>
    <col min="3" max="3" width="12.6640625" style="71" bestFit="1" customWidth="1"/>
    <col min="4" max="4" width="14.5546875" style="71" bestFit="1" customWidth="1"/>
    <col min="5" max="5" width="11.5546875" style="71" bestFit="1" customWidth="1"/>
    <col min="6" max="7" width="9.109375" style="70"/>
    <col min="8" max="8" width="9.109375" style="72"/>
    <col min="9" max="11" width="9.109375" style="70"/>
    <col min="12" max="12" width="12.6640625" style="70" bestFit="1" customWidth="1"/>
    <col min="13" max="13" width="11.109375" style="70" bestFit="1" customWidth="1"/>
    <col min="14" max="16384" width="9.109375" style="70"/>
  </cols>
  <sheetData>
    <row r="3" spans="1:14" s="79" customFormat="1" ht="78" x14ac:dyDescent="0.3">
      <c r="C3" s="80" t="s">
        <v>148</v>
      </c>
      <c r="D3" s="80" t="s">
        <v>149</v>
      </c>
      <c r="E3" s="80" t="s">
        <v>150</v>
      </c>
      <c r="G3" s="79" t="s">
        <v>147</v>
      </c>
      <c r="H3" s="81" t="s">
        <v>134</v>
      </c>
      <c r="I3" s="79" t="s">
        <v>151</v>
      </c>
      <c r="J3" s="79" t="s">
        <v>135</v>
      </c>
      <c r="K3" s="79" t="s">
        <v>152</v>
      </c>
      <c r="L3" s="79" t="s">
        <v>153</v>
      </c>
      <c r="M3" s="79" t="s">
        <v>136</v>
      </c>
    </row>
    <row r="4" spans="1:14" x14ac:dyDescent="0.3">
      <c r="A4" s="73">
        <v>304</v>
      </c>
      <c r="B4" s="73" t="s">
        <v>137</v>
      </c>
      <c r="C4" s="74">
        <v>774820</v>
      </c>
      <c r="D4" s="74">
        <v>774820</v>
      </c>
      <c r="E4" s="71">
        <f t="shared" ref="E4:E12" si="0">C4-D4</f>
        <v>0</v>
      </c>
    </row>
    <row r="5" spans="1:14" x14ac:dyDescent="0.3">
      <c r="A5" s="73">
        <v>309</v>
      </c>
      <c r="B5" s="73" t="s">
        <v>138</v>
      </c>
      <c r="C5" s="74">
        <v>123943</v>
      </c>
      <c r="D5" s="74">
        <v>85542</v>
      </c>
      <c r="E5" s="71">
        <f t="shared" si="0"/>
        <v>38401</v>
      </c>
      <c r="G5" s="70">
        <v>5181</v>
      </c>
      <c r="H5" s="75">
        <f>G5/C5</f>
        <v>4.1801473257868538E-2</v>
      </c>
      <c r="I5" s="76">
        <f>C5/G5</f>
        <v>23.92260181432156</v>
      </c>
      <c r="J5" s="70">
        <v>50</v>
      </c>
      <c r="K5" s="75">
        <f>L5/C5</f>
        <v>0.02</v>
      </c>
      <c r="L5" s="77">
        <f>C5/J5</f>
        <v>2478.86</v>
      </c>
      <c r="M5" s="77">
        <f>L5-$G5</f>
        <v>-2702.14</v>
      </c>
    </row>
    <row r="6" spans="1:14" x14ac:dyDescent="0.3">
      <c r="A6" s="73">
        <v>311</v>
      </c>
      <c r="B6" s="73" t="s">
        <v>139</v>
      </c>
      <c r="C6" s="74">
        <v>91967</v>
      </c>
      <c r="D6" s="74">
        <v>91967</v>
      </c>
      <c r="E6" s="71">
        <f t="shared" si="0"/>
        <v>0</v>
      </c>
      <c r="J6" s="70">
        <v>20</v>
      </c>
    </row>
    <row r="7" spans="1:14" x14ac:dyDescent="0.3">
      <c r="A7" s="73">
        <v>320</v>
      </c>
      <c r="B7" s="73" t="s">
        <v>140</v>
      </c>
      <c r="C7" s="74">
        <v>5078</v>
      </c>
      <c r="D7" s="74">
        <v>4243</v>
      </c>
      <c r="E7" s="71">
        <f t="shared" si="0"/>
        <v>835</v>
      </c>
      <c r="G7" s="70">
        <v>339</v>
      </c>
      <c r="H7" s="75">
        <f>G7/C7</f>
        <v>6.6758566364710517E-2</v>
      </c>
      <c r="I7" s="76">
        <f>C7/G7</f>
        <v>14.979351032448378</v>
      </c>
      <c r="J7" s="70">
        <v>20</v>
      </c>
      <c r="K7" s="75">
        <f>L7/C7</f>
        <v>0.05</v>
      </c>
      <c r="L7" s="77">
        <f>C7/J7</f>
        <v>253.9</v>
      </c>
      <c r="M7" s="77">
        <f>L7-$G7</f>
        <v>-85.1</v>
      </c>
    </row>
    <row r="8" spans="1:14" x14ac:dyDescent="0.3">
      <c r="A8" s="73">
        <v>331</v>
      </c>
      <c r="B8" s="73" t="s">
        <v>141</v>
      </c>
      <c r="C8" s="74">
        <v>0</v>
      </c>
      <c r="D8" s="74">
        <v>0</v>
      </c>
      <c r="E8" s="71">
        <v>0</v>
      </c>
      <c r="G8" s="70">
        <v>0</v>
      </c>
      <c r="H8" s="75"/>
      <c r="I8" s="76"/>
      <c r="J8" s="70">
        <v>50</v>
      </c>
      <c r="K8" s="75">
        <f>K5</f>
        <v>0.02</v>
      </c>
      <c r="L8" s="77"/>
      <c r="M8" s="77"/>
    </row>
    <row r="9" spans="1:14" x14ac:dyDescent="0.3">
      <c r="A9" s="73">
        <v>333</v>
      </c>
      <c r="B9" s="73" t="s">
        <v>142</v>
      </c>
      <c r="C9" s="74">
        <v>206062.92</v>
      </c>
      <c r="D9" s="74">
        <v>30101</v>
      </c>
      <c r="E9" s="71">
        <f t="shared" si="0"/>
        <v>175961.92</v>
      </c>
      <c r="G9" s="70">
        <v>10303</v>
      </c>
      <c r="H9" s="75">
        <f>G9/C9</f>
        <v>4.9999291478544511E-2</v>
      </c>
      <c r="I9" s="76">
        <f>C9/G9</f>
        <v>20.000283412598275</v>
      </c>
      <c r="J9" s="70">
        <v>30</v>
      </c>
      <c r="K9" s="75">
        <f>L9/C9</f>
        <v>3.3333333333333333E-2</v>
      </c>
      <c r="L9" s="77">
        <f>C9/J9</f>
        <v>6868.7640000000001</v>
      </c>
      <c r="M9" s="77">
        <f>L9-$G9</f>
        <v>-3434.2359999999999</v>
      </c>
    </row>
    <row r="10" spans="1:14" x14ac:dyDescent="0.3">
      <c r="A10" s="73">
        <v>334</v>
      </c>
      <c r="B10" s="73" t="s">
        <v>143</v>
      </c>
      <c r="C10" s="74">
        <v>27251</v>
      </c>
      <c r="D10" s="74">
        <v>27251</v>
      </c>
      <c r="E10" s="71">
        <f t="shared" si="0"/>
        <v>0</v>
      </c>
      <c r="G10" s="70">
        <v>1948</v>
      </c>
      <c r="H10" s="75">
        <f>G10/C10</f>
        <v>7.1483615280173204E-2</v>
      </c>
      <c r="I10" s="76">
        <f>C10/G10</f>
        <v>13.989219712525667</v>
      </c>
      <c r="J10" s="70">
        <v>35</v>
      </c>
      <c r="K10" s="75">
        <v>2.8571428571428571E-2</v>
      </c>
      <c r="L10" s="77">
        <v>0</v>
      </c>
      <c r="M10" s="77">
        <f>L10-$G10</f>
        <v>-1948</v>
      </c>
      <c r="N10" s="70" t="s">
        <v>144</v>
      </c>
    </row>
    <row r="11" spans="1:14" x14ac:dyDescent="0.3">
      <c r="A11" s="73">
        <v>335</v>
      </c>
      <c r="B11" s="73" t="s">
        <v>145</v>
      </c>
      <c r="C11" s="74">
        <v>13823</v>
      </c>
      <c r="D11" s="74">
        <v>12415</v>
      </c>
      <c r="E11" s="71">
        <f t="shared" si="0"/>
        <v>1408</v>
      </c>
      <c r="G11" s="70">
        <v>436</v>
      </c>
      <c r="H11" s="75">
        <f>G11/C11</f>
        <v>3.1541633509368443E-2</v>
      </c>
      <c r="I11" s="76">
        <f>C11/G11</f>
        <v>31.704128440366972</v>
      </c>
      <c r="J11" s="70">
        <v>40</v>
      </c>
      <c r="K11" s="75">
        <f>L11/C11</f>
        <v>2.4999999999999998E-2</v>
      </c>
      <c r="L11" s="77">
        <f>C11/J11</f>
        <v>345.57499999999999</v>
      </c>
      <c r="M11" s="77">
        <f>L11-$G11</f>
        <v>-90.425000000000011</v>
      </c>
    </row>
    <row r="12" spans="1:14" x14ac:dyDescent="0.3">
      <c r="A12" s="73">
        <v>339</v>
      </c>
      <c r="B12" s="73" t="s">
        <v>146</v>
      </c>
      <c r="C12" s="74">
        <v>3051</v>
      </c>
      <c r="D12" s="74">
        <v>1486</v>
      </c>
      <c r="E12" s="71">
        <f t="shared" si="0"/>
        <v>1565</v>
      </c>
      <c r="G12" s="70">
        <v>52</v>
      </c>
      <c r="H12" s="75">
        <f>G12/C12</f>
        <v>1.7043592264831202E-2</v>
      </c>
      <c r="I12" s="76">
        <f>C12/G12</f>
        <v>58.67307692307692</v>
      </c>
      <c r="J12" s="70">
        <v>10</v>
      </c>
      <c r="K12" s="75">
        <f>L12/C12</f>
        <v>0.1</v>
      </c>
      <c r="L12" s="77">
        <f>C12/J12</f>
        <v>305.10000000000002</v>
      </c>
      <c r="M12" s="77">
        <f>L12-$G12</f>
        <v>253.10000000000002</v>
      </c>
    </row>
    <row r="13" spans="1:14" x14ac:dyDescent="0.3">
      <c r="C13" s="78">
        <f>SUM(C4:C12)</f>
        <v>1245995.92</v>
      </c>
      <c r="D13" s="78">
        <f>SUM(D4:D12)</f>
        <v>1027825</v>
      </c>
      <c r="E13" s="78">
        <f>SUM(E4:E12)</f>
        <v>218170.92</v>
      </c>
      <c r="G13" s="78">
        <f>SUM(G4:G12)</f>
        <v>18259</v>
      </c>
      <c r="L13" s="78">
        <f>SUM(L4:L12)</f>
        <v>10252.199000000002</v>
      </c>
      <c r="M13" s="78">
        <f>SUM(M4:M12)</f>
        <v>-8006.8009999999995</v>
      </c>
    </row>
  </sheetData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4EE7A-F6EA-4E8F-B6D0-1DC0F53A0003}">
  <dimension ref="A1:G18"/>
  <sheetViews>
    <sheetView workbookViewId="0">
      <selection activeCell="L11" sqref="L11"/>
    </sheetView>
  </sheetViews>
  <sheetFormatPr defaultColWidth="9" defaultRowHeight="13.8" x14ac:dyDescent="0.25"/>
  <cols>
    <col min="1" max="1" width="51" style="91" bestFit="1" customWidth="1"/>
    <col min="2" max="2" width="9" style="94"/>
    <col min="3" max="3" width="13.109375" style="91" bestFit="1" customWidth="1"/>
    <col min="4" max="4" width="9" style="94"/>
    <col min="5" max="5" width="9" style="91"/>
    <col min="6" max="7" width="9" style="94"/>
    <col min="8" max="16384" width="9" style="91"/>
  </cols>
  <sheetData>
    <row r="1" spans="1:7" ht="41.4" x14ac:dyDescent="0.25">
      <c r="A1" s="91" t="s">
        <v>226</v>
      </c>
      <c r="B1" s="92" t="s">
        <v>227</v>
      </c>
      <c r="C1" s="93" t="s">
        <v>228</v>
      </c>
      <c r="D1" s="92" t="s">
        <v>229</v>
      </c>
      <c r="E1" s="93" t="s">
        <v>230</v>
      </c>
      <c r="F1" s="92" t="s">
        <v>231</v>
      </c>
      <c r="G1" s="92" t="s">
        <v>232</v>
      </c>
    </row>
    <row r="2" spans="1:7" x14ac:dyDescent="0.25">
      <c r="A2" s="91" t="s">
        <v>233</v>
      </c>
      <c r="B2" s="94">
        <v>30</v>
      </c>
      <c r="C2" s="91">
        <f>12*9</f>
        <v>108</v>
      </c>
      <c r="D2" s="94">
        <f>C2*B2</f>
        <v>3240</v>
      </c>
      <c r="E2" s="91">
        <v>1</v>
      </c>
      <c r="F2" s="94">
        <f>D2*E2</f>
        <v>3240</v>
      </c>
      <c r="G2" s="94">
        <f>ROUND(F2/9,2)</f>
        <v>360</v>
      </c>
    </row>
    <row r="3" spans="1:7" x14ac:dyDescent="0.25">
      <c r="A3" s="91" t="s">
        <v>234</v>
      </c>
      <c r="B3" s="94">
        <v>490</v>
      </c>
      <c r="C3" s="91">
        <v>9</v>
      </c>
      <c r="D3" s="94">
        <f t="shared" ref="D3:D15" si="0">C3*B3</f>
        <v>4410</v>
      </c>
      <c r="E3" s="91">
        <v>1</v>
      </c>
      <c r="F3" s="94">
        <f t="shared" ref="F3:F15" si="1">D3*E3</f>
        <v>4410</v>
      </c>
      <c r="G3" s="94">
        <f t="shared" ref="G3:G14" si="2">ROUND(F3/9,2)</f>
        <v>490</v>
      </c>
    </row>
    <row r="4" spans="1:7" x14ac:dyDescent="0.25">
      <c r="A4" s="91" t="s">
        <v>235</v>
      </c>
      <c r="B4" s="94">
        <v>60</v>
      </c>
      <c r="C4" s="91">
        <v>30</v>
      </c>
      <c r="D4" s="94">
        <f t="shared" si="0"/>
        <v>1800</v>
      </c>
      <c r="E4" s="91">
        <v>1</v>
      </c>
      <c r="F4" s="94">
        <f t="shared" si="1"/>
        <v>1800</v>
      </c>
      <c r="G4" s="94">
        <f t="shared" si="2"/>
        <v>200</v>
      </c>
    </row>
    <row r="5" spans="1:7" x14ac:dyDescent="0.25">
      <c r="A5" s="91" t="s">
        <v>236</v>
      </c>
      <c r="G5" s="95">
        <f>SUM(G2:G4)</f>
        <v>1050</v>
      </c>
    </row>
    <row r="7" spans="1:7" x14ac:dyDescent="0.25">
      <c r="A7" s="91" t="s">
        <v>237</v>
      </c>
    </row>
    <row r="8" spans="1:7" x14ac:dyDescent="0.25">
      <c r="A8" s="91" t="s">
        <v>238</v>
      </c>
      <c r="B8" s="94">
        <v>30</v>
      </c>
      <c r="C8" s="91">
        <v>9</v>
      </c>
      <c r="D8" s="94">
        <f t="shared" si="0"/>
        <v>270</v>
      </c>
      <c r="E8" s="91">
        <v>2</v>
      </c>
      <c r="F8" s="94">
        <f t="shared" si="1"/>
        <v>540</v>
      </c>
      <c r="G8" s="94">
        <f t="shared" si="2"/>
        <v>60</v>
      </c>
    </row>
    <row r="9" spans="1:7" x14ac:dyDescent="0.25">
      <c r="A9" s="91" t="s">
        <v>239</v>
      </c>
      <c r="B9" s="94">
        <v>30</v>
      </c>
      <c r="C9" s="91">
        <v>1</v>
      </c>
      <c r="D9" s="94">
        <f t="shared" si="0"/>
        <v>30</v>
      </c>
      <c r="E9" s="91">
        <v>2</v>
      </c>
      <c r="F9" s="94">
        <f t="shared" si="1"/>
        <v>60</v>
      </c>
      <c r="G9" s="94">
        <f t="shared" si="2"/>
        <v>6.67</v>
      </c>
    </row>
    <row r="10" spans="1:7" x14ac:dyDescent="0.25">
      <c r="A10" s="91" t="s">
        <v>240</v>
      </c>
      <c r="B10" s="94">
        <v>30</v>
      </c>
      <c r="C10" s="91">
        <v>1</v>
      </c>
      <c r="D10" s="94">
        <f t="shared" si="0"/>
        <v>30</v>
      </c>
      <c r="E10" s="91">
        <v>2</v>
      </c>
      <c r="F10" s="94">
        <f t="shared" si="1"/>
        <v>60</v>
      </c>
      <c r="G10" s="94">
        <f t="shared" si="2"/>
        <v>6.67</v>
      </c>
    </row>
    <row r="11" spans="1:7" x14ac:dyDescent="0.25">
      <c r="A11" s="91" t="s">
        <v>241</v>
      </c>
      <c r="B11" s="94">
        <v>30</v>
      </c>
      <c r="C11" s="91">
        <v>1</v>
      </c>
      <c r="D11" s="94">
        <f t="shared" si="0"/>
        <v>30</v>
      </c>
      <c r="E11" s="91">
        <v>2</v>
      </c>
      <c r="F11" s="94">
        <f t="shared" si="1"/>
        <v>60</v>
      </c>
      <c r="G11" s="94">
        <f t="shared" si="2"/>
        <v>6.67</v>
      </c>
    </row>
    <row r="12" spans="1:7" x14ac:dyDescent="0.25">
      <c r="A12" s="91" t="s">
        <v>242</v>
      </c>
      <c r="B12" s="94">
        <v>30</v>
      </c>
      <c r="C12" s="91">
        <v>3</v>
      </c>
      <c r="D12" s="94">
        <f t="shared" si="0"/>
        <v>90</v>
      </c>
      <c r="E12" s="91">
        <v>2</v>
      </c>
      <c r="F12" s="94">
        <f t="shared" si="1"/>
        <v>180</v>
      </c>
      <c r="G12" s="94">
        <f t="shared" si="2"/>
        <v>20</v>
      </c>
    </row>
    <row r="13" spans="1:7" x14ac:dyDescent="0.25">
      <c r="A13" s="91" t="s">
        <v>243</v>
      </c>
      <c r="B13" s="94">
        <v>135</v>
      </c>
      <c r="C13" s="91">
        <v>1</v>
      </c>
      <c r="D13" s="94">
        <f t="shared" si="0"/>
        <v>135</v>
      </c>
      <c r="E13" s="91">
        <v>2</v>
      </c>
      <c r="F13" s="94">
        <f t="shared" si="1"/>
        <v>270</v>
      </c>
      <c r="G13" s="94">
        <f t="shared" si="2"/>
        <v>30</v>
      </c>
    </row>
    <row r="14" spans="1:7" x14ac:dyDescent="0.25">
      <c r="A14" s="91" t="s">
        <v>244</v>
      </c>
      <c r="B14" s="94">
        <v>300</v>
      </c>
      <c r="C14" s="91">
        <v>1.5</v>
      </c>
      <c r="D14" s="94">
        <f t="shared" si="0"/>
        <v>450</v>
      </c>
      <c r="E14" s="91">
        <v>2</v>
      </c>
      <c r="F14" s="94">
        <f t="shared" si="1"/>
        <v>900</v>
      </c>
      <c r="G14" s="94">
        <f t="shared" si="2"/>
        <v>100</v>
      </c>
    </row>
    <row r="15" spans="1:7" x14ac:dyDescent="0.25">
      <c r="A15" s="91" t="s">
        <v>245</v>
      </c>
      <c r="B15" s="94">
        <v>350</v>
      </c>
      <c r="C15" s="91">
        <v>1</v>
      </c>
      <c r="D15" s="94">
        <f t="shared" si="0"/>
        <v>350</v>
      </c>
      <c r="E15" s="91">
        <v>2</v>
      </c>
      <c r="F15" s="94">
        <f t="shared" si="1"/>
        <v>700</v>
      </c>
      <c r="G15" s="94">
        <f>ROUND(F15/9,2)</f>
        <v>77.78</v>
      </c>
    </row>
    <row r="16" spans="1:7" x14ac:dyDescent="0.25">
      <c r="A16" s="91" t="s">
        <v>246</v>
      </c>
      <c r="G16" s="95">
        <f>SUM(G8:G15)</f>
        <v>307.78999999999996</v>
      </c>
    </row>
    <row r="18" spans="1:7" x14ac:dyDescent="0.25">
      <c r="A18" s="91" t="s">
        <v>247</v>
      </c>
      <c r="G18" s="94">
        <f>G5+G16</f>
        <v>1357.79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392B2-7A6F-42E3-B6D1-D3978F785590}">
  <dimension ref="A1:B11"/>
  <sheetViews>
    <sheetView workbookViewId="0">
      <selection activeCell="L11" sqref="L11"/>
    </sheetView>
  </sheetViews>
  <sheetFormatPr defaultRowHeight="14.4" x14ac:dyDescent="0.3"/>
  <sheetData>
    <row r="1" spans="1:2" x14ac:dyDescent="0.3">
      <c r="A1">
        <v>1400</v>
      </c>
      <c r="B1" t="s">
        <v>186</v>
      </c>
    </row>
    <row r="2" spans="1:2" x14ac:dyDescent="0.3">
      <c r="A2">
        <f>A1*12</f>
        <v>16800</v>
      </c>
      <c r="B2" t="s">
        <v>187</v>
      </c>
    </row>
    <row r="3" spans="1:2" x14ac:dyDescent="0.3">
      <c r="A3" s="5">
        <v>0.25</v>
      </c>
      <c r="B3" t="s">
        <v>188</v>
      </c>
    </row>
    <row r="4" spans="1:2" x14ac:dyDescent="0.3">
      <c r="A4">
        <f>A2*A3+A2</f>
        <v>21000</v>
      </c>
    </row>
    <row r="5" spans="1:2" x14ac:dyDescent="0.3">
      <c r="A5" s="5">
        <v>0.2</v>
      </c>
      <c r="B5" t="s">
        <v>189</v>
      </c>
    </row>
    <row r="6" spans="1:2" x14ac:dyDescent="0.3">
      <c r="A6">
        <f>A4-A4*A5</f>
        <v>16800</v>
      </c>
    </row>
    <row r="9" spans="1:2" x14ac:dyDescent="0.3">
      <c r="A9">
        <v>35766</v>
      </c>
      <c r="B9" t="s">
        <v>248</v>
      </c>
    </row>
    <row r="10" spans="1:2" x14ac:dyDescent="0.3">
      <c r="A10">
        <f>A6</f>
        <v>16800</v>
      </c>
      <c r="B10" t="s">
        <v>249</v>
      </c>
    </row>
    <row r="11" spans="1:2" x14ac:dyDescent="0.3">
      <c r="A11">
        <f>A9-A10</f>
        <v>18966</v>
      </c>
      <c r="B11" t="s">
        <v>250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25AEF-4FAF-4C53-A9E6-136FA5445F64}">
  <dimension ref="A1:N17"/>
  <sheetViews>
    <sheetView workbookViewId="0">
      <selection activeCell="L11" sqref="L11"/>
    </sheetView>
  </sheetViews>
  <sheetFormatPr defaultRowHeight="14.4" x14ac:dyDescent="0.3"/>
  <cols>
    <col min="1" max="1" width="21.6640625" bestFit="1" customWidth="1"/>
    <col min="2" max="2" width="9.109375" customWidth="1"/>
    <col min="5" max="5" width="9.5546875" bestFit="1" customWidth="1"/>
    <col min="6" max="6" width="9.88671875" bestFit="1" customWidth="1"/>
    <col min="7" max="7" width="13.5546875" bestFit="1" customWidth="1"/>
    <col min="8" max="8" width="13.109375" bestFit="1" customWidth="1"/>
    <col min="9" max="9" width="17.88671875" bestFit="1" customWidth="1"/>
  </cols>
  <sheetData>
    <row r="1" spans="1:14" x14ac:dyDescent="0.3">
      <c r="A1" t="s">
        <v>155</v>
      </c>
      <c r="D1" t="s">
        <v>156</v>
      </c>
      <c r="E1" t="s">
        <v>157</v>
      </c>
      <c r="F1" t="s">
        <v>158</v>
      </c>
      <c r="G1" t="s">
        <v>159</v>
      </c>
      <c r="H1" t="s">
        <v>160</v>
      </c>
      <c r="I1" t="s">
        <v>161</v>
      </c>
      <c r="K1" t="s">
        <v>162</v>
      </c>
      <c r="M1" t="s">
        <v>163</v>
      </c>
      <c r="N1" t="s">
        <v>164</v>
      </c>
    </row>
    <row r="2" spans="1:14" x14ac:dyDescent="0.3">
      <c r="A2" t="s">
        <v>165</v>
      </c>
      <c r="B2">
        <v>600</v>
      </c>
      <c r="G2">
        <f>ROUND(B2*$F$9,2)</f>
        <v>733.15</v>
      </c>
      <c r="H2">
        <f>ROUND(G2/$G$6*$G$8,2)</f>
        <v>285.11</v>
      </c>
      <c r="I2">
        <f>SUM(G2:H2)</f>
        <v>1018.26</v>
      </c>
    </row>
    <row r="3" spans="1:14" x14ac:dyDescent="0.3">
      <c r="A3" t="s">
        <v>166</v>
      </c>
      <c r="B3">
        <v>180</v>
      </c>
      <c r="G3">
        <f t="shared" ref="G3:G5" si="0">ROUND(B3*$F$9,2)</f>
        <v>219.95</v>
      </c>
      <c r="H3">
        <f t="shared" ref="H3:H5" si="1">ROUND(G3/$G$6*$G$8,2)</f>
        <v>85.54</v>
      </c>
      <c r="I3">
        <f t="shared" ref="I3:I5" si="2">SUM(G3:H3)</f>
        <v>305.49</v>
      </c>
      <c r="K3">
        <f>I3</f>
        <v>305.49</v>
      </c>
    </row>
    <row r="4" spans="1:14" x14ac:dyDescent="0.3">
      <c r="A4" t="s">
        <v>167</v>
      </c>
      <c r="B4">
        <v>180</v>
      </c>
      <c r="G4">
        <f t="shared" si="0"/>
        <v>219.95</v>
      </c>
      <c r="H4">
        <f t="shared" si="1"/>
        <v>85.54</v>
      </c>
      <c r="I4">
        <f t="shared" si="2"/>
        <v>305.49</v>
      </c>
      <c r="K4">
        <f>I4</f>
        <v>305.49</v>
      </c>
    </row>
    <row r="5" spans="1:14" x14ac:dyDescent="0.3">
      <c r="A5" t="s">
        <v>168</v>
      </c>
      <c r="B5">
        <v>120</v>
      </c>
      <c r="G5">
        <f t="shared" si="0"/>
        <v>146.63</v>
      </c>
      <c r="H5">
        <f t="shared" si="1"/>
        <v>57.02</v>
      </c>
      <c r="I5">
        <f t="shared" si="2"/>
        <v>203.65</v>
      </c>
    </row>
    <row r="6" spans="1:14" x14ac:dyDescent="0.3">
      <c r="A6" t="s">
        <v>56</v>
      </c>
      <c r="B6">
        <f>SUM(B2:B5)</f>
        <v>1080</v>
      </c>
      <c r="G6">
        <f>SUM(G2:G5)</f>
        <v>1319.6799999999998</v>
      </c>
      <c r="H6">
        <f>SUM(H2:H5)</f>
        <v>513.21</v>
      </c>
      <c r="I6">
        <f>SUM(I2:I5)</f>
        <v>1832.89</v>
      </c>
      <c r="K6">
        <f>SUM(K3:K5)</f>
        <v>610.98</v>
      </c>
      <c r="M6">
        <f>K6-I6</f>
        <v>-1221.9100000000001</v>
      </c>
      <c r="N6">
        <f>M6*12</f>
        <v>-14662.920000000002</v>
      </c>
    </row>
    <row r="8" spans="1:14" x14ac:dyDescent="0.3">
      <c r="A8" t="s">
        <v>169</v>
      </c>
      <c r="B8">
        <v>420</v>
      </c>
      <c r="G8">
        <f>ROUND(B8*$F$9,2)</f>
        <v>513.21</v>
      </c>
    </row>
    <row r="9" spans="1:14" x14ac:dyDescent="0.3">
      <c r="A9" t="s">
        <v>56</v>
      </c>
      <c r="B9">
        <f>SUM(B6:B8)</f>
        <v>1500</v>
      </c>
      <c r="D9">
        <v>1832.88</v>
      </c>
      <c r="E9">
        <f>D9-B9</f>
        <v>332.88000000000011</v>
      </c>
      <c r="F9" s="5">
        <f>D9/B9</f>
        <v>1.2219200000000001</v>
      </c>
      <c r="G9">
        <f>SUM(G6:G8)</f>
        <v>1832.8899999999999</v>
      </c>
    </row>
    <row r="13" spans="1:14" x14ac:dyDescent="0.3">
      <c r="E13" s="82"/>
    </row>
    <row r="14" spans="1:14" x14ac:dyDescent="0.3">
      <c r="E14" s="82"/>
    </row>
    <row r="15" spans="1:14" x14ac:dyDescent="0.3">
      <c r="E15" s="82"/>
    </row>
    <row r="16" spans="1:14" x14ac:dyDescent="0.3">
      <c r="E16" s="82"/>
    </row>
    <row r="17" spans="5:5" x14ac:dyDescent="0.3">
      <c r="E17" s="82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E3A65-3698-4149-8837-91D3121DD29C}">
  <dimension ref="A2:G18"/>
  <sheetViews>
    <sheetView workbookViewId="0">
      <selection activeCell="L11" sqref="L11"/>
    </sheetView>
  </sheetViews>
  <sheetFormatPr defaultRowHeight="14.4" x14ac:dyDescent="0.3"/>
  <cols>
    <col min="1" max="1" width="14.109375" bestFit="1" customWidth="1"/>
    <col min="4" max="4" width="10.109375" bestFit="1" customWidth="1"/>
  </cols>
  <sheetData>
    <row r="2" spans="1:7" x14ac:dyDescent="0.3">
      <c r="A2" t="s">
        <v>170</v>
      </c>
      <c r="D2" s="3">
        <v>257</v>
      </c>
    </row>
    <row r="3" spans="1:7" x14ac:dyDescent="0.3">
      <c r="A3" t="s">
        <v>171</v>
      </c>
      <c r="D3" s="3">
        <v>194.81</v>
      </c>
    </row>
    <row r="4" spans="1:7" x14ac:dyDescent="0.3">
      <c r="A4" t="s">
        <v>172</v>
      </c>
      <c r="D4" s="23">
        <v>291.67</v>
      </c>
    </row>
    <row r="5" spans="1:7" x14ac:dyDescent="0.3">
      <c r="A5" t="s">
        <v>173</v>
      </c>
      <c r="D5" s="3">
        <f>SUM(D2:D4)</f>
        <v>743.48</v>
      </c>
    </row>
    <row r="6" spans="1:7" x14ac:dyDescent="0.3">
      <c r="D6" s="17"/>
    </row>
    <row r="7" spans="1:7" ht="43.2" x14ac:dyDescent="0.3">
      <c r="A7" t="s">
        <v>174</v>
      </c>
      <c r="B7" t="s">
        <v>175</v>
      </c>
      <c r="C7" s="46" t="s">
        <v>176</v>
      </c>
      <c r="D7" s="46" t="s">
        <v>177</v>
      </c>
      <c r="E7" s="46" t="s">
        <v>178</v>
      </c>
    </row>
    <row r="8" spans="1:7" x14ac:dyDescent="0.3">
      <c r="A8" t="s">
        <v>179</v>
      </c>
      <c r="B8">
        <v>13.6</v>
      </c>
      <c r="C8" s="82">
        <v>425</v>
      </c>
      <c r="D8" s="3">
        <v>3952.5</v>
      </c>
      <c r="E8" s="82">
        <f>D8/B8</f>
        <v>290.625</v>
      </c>
    </row>
    <row r="9" spans="1:7" x14ac:dyDescent="0.3">
      <c r="A9" t="s">
        <v>180</v>
      </c>
      <c r="B9">
        <v>6.2</v>
      </c>
      <c r="C9" s="82">
        <v>425</v>
      </c>
      <c r="D9" s="23">
        <v>2592.5</v>
      </c>
      <c r="E9" s="82">
        <f>D9/B9</f>
        <v>418.14516129032256</v>
      </c>
    </row>
    <row r="10" spans="1:7" x14ac:dyDescent="0.3">
      <c r="A10" t="s">
        <v>181</v>
      </c>
      <c r="D10" s="17">
        <f>SUM(D8:D9)</f>
        <v>6545</v>
      </c>
    </row>
    <row r="11" spans="1:7" x14ac:dyDescent="0.3">
      <c r="D11" s="17"/>
    </row>
    <row r="12" spans="1:7" x14ac:dyDescent="0.3">
      <c r="A12" t="s">
        <v>182</v>
      </c>
      <c r="D12" s="17">
        <f>D10+D5</f>
        <v>7288.48</v>
      </c>
      <c r="G12">
        <v>5</v>
      </c>
    </row>
    <row r="13" spans="1:7" x14ac:dyDescent="0.3">
      <c r="D13" s="17"/>
    </row>
    <row r="14" spans="1:7" x14ac:dyDescent="0.3">
      <c r="A14" t="s">
        <v>183</v>
      </c>
      <c r="D14" s="17">
        <f>G12*C8</f>
        <v>2125</v>
      </c>
    </row>
    <row r="15" spans="1:7" x14ac:dyDescent="0.3">
      <c r="D15" s="17"/>
    </row>
    <row r="16" spans="1:7" x14ac:dyDescent="0.3">
      <c r="A16" t="s">
        <v>184</v>
      </c>
      <c r="D16" s="17">
        <f>D12+D14</f>
        <v>9413.48</v>
      </c>
    </row>
    <row r="17" spans="1:4" x14ac:dyDescent="0.3">
      <c r="D17" s="17"/>
    </row>
    <row r="18" spans="1:4" x14ac:dyDescent="0.3">
      <c r="A18" t="s">
        <v>185</v>
      </c>
      <c r="D18" s="17">
        <f>D16/5</f>
        <v>1882.6959999999999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71F81-55EC-4160-9F0E-CE4BDA232596}">
  <dimension ref="A1:AC99"/>
  <sheetViews>
    <sheetView tabSelected="1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E9" sqref="AE9"/>
    </sheetView>
  </sheetViews>
  <sheetFormatPr defaultRowHeight="14.4" x14ac:dyDescent="0.3"/>
  <cols>
    <col min="1" max="1" width="2" customWidth="1"/>
    <col min="3" max="3" width="46" bestFit="1" customWidth="1"/>
    <col min="4" max="4" width="15.5546875" style="3" bestFit="1" customWidth="1"/>
    <col min="5" max="5" width="9.6640625" style="3" bestFit="1" customWidth="1"/>
    <col min="6" max="6" width="12.109375" style="3" customWidth="1"/>
    <col min="7" max="7" width="11.33203125" style="3" customWidth="1"/>
    <col min="8" max="8" width="13.6640625" style="3" customWidth="1"/>
    <col min="9" max="9" width="12.5546875" style="3" customWidth="1"/>
    <col min="10" max="10" width="13.33203125" style="3" customWidth="1"/>
    <col min="11" max="11" width="12" style="3" customWidth="1"/>
    <col min="12" max="13" width="13.44140625" style="3" customWidth="1"/>
    <col min="14" max="14" width="9.33203125" style="3" customWidth="1"/>
    <col min="15" max="15" width="15.33203125" style="3" customWidth="1"/>
    <col min="16" max="18" width="9.33203125" style="3" bestFit="1" customWidth="1"/>
    <col min="19" max="19" width="13.44140625" style="3" customWidth="1"/>
    <col min="20" max="20" width="13.109375" style="3" customWidth="1"/>
    <col min="21" max="21" width="13.88671875" style="3" customWidth="1"/>
    <col min="22" max="22" width="15" style="3" customWidth="1"/>
    <col min="23" max="25" width="12" style="3" customWidth="1"/>
    <col min="26" max="26" width="14" style="3" bestFit="1" customWidth="1"/>
    <col min="28" max="28" width="11.5546875" bestFit="1" customWidth="1"/>
  </cols>
  <sheetData>
    <row r="1" spans="2:26" x14ac:dyDescent="0.3"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</row>
    <row r="2" spans="2:26" x14ac:dyDescent="0.3">
      <c r="E2" s="59">
        <v>1</v>
      </c>
      <c r="F2" s="59">
        <f>E2+1</f>
        <v>2</v>
      </c>
      <c r="G2" s="59">
        <f t="shared" ref="G2:X2" si="0">F2+1</f>
        <v>3</v>
      </c>
      <c r="H2" s="59">
        <f t="shared" si="0"/>
        <v>4</v>
      </c>
      <c r="I2" s="59">
        <f t="shared" si="0"/>
        <v>5</v>
      </c>
      <c r="J2" s="59">
        <f t="shared" si="0"/>
        <v>6</v>
      </c>
      <c r="K2" s="59">
        <f t="shared" si="0"/>
        <v>7</v>
      </c>
      <c r="L2" s="59">
        <f t="shared" si="0"/>
        <v>8</v>
      </c>
      <c r="M2" s="59">
        <f t="shared" si="0"/>
        <v>9</v>
      </c>
      <c r="N2" s="59">
        <f t="shared" si="0"/>
        <v>10</v>
      </c>
      <c r="O2" s="59">
        <f t="shared" si="0"/>
        <v>11</v>
      </c>
      <c r="P2" s="59">
        <f t="shared" si="0"/>
        <v>12</v>
      </c>
      <c r="Q2" s="59">
        <f t="shared" si="0"/>
        <v>13</v>
      </c>
      <c r="R2" s="59">
        <f t="shared" si="0"/>
        <v>14</v>
      </c>
      <c r="S2" s="59">
        <f t="shared" si="0"/>
        <v>15</v>
      </c>
      <c r="T2" s="59">
        <f t="shared" si="0"/>
        <v>16</v>
      </c>
      <c r="U2" s="59">
        <f t="shared" si="0"/>
        <v>17</v>
      </c>
      <c r="V2" s="59">
        <f t="shared" si="0"/>
        <v>18</v>
      </c>
      <c r="W2" s="59">
        <f t="shared" si="0"/>
        <v>19</v>
      </c>
      <c r="X2" s="59">
        <f t="shared" si="0"/>
        <v>20</v>
      </c>
      <c r="Y2" s="59"/>
      <c r="Z2" s="20"/>
    </row>
    <row r="3" spans="2:26" x14ac:dyDescent="0.3"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20"/>
    </row>
    <row r="4" spans="2:26" ht="60" customHeight="1" x14ac:dyDescent="0.3">
      <c r="B4" s="1" t="s">
        <v>0</v>
      </c>
      <c r="C4" s="1"/>
      <c r="D4" s="19" t="s">
        <v>1</v>
      </c>
      <c r="E4" s="58" t="s">
        <v>2</v>
      </c>
      <c r="F4" s="58" t="s">
        <v>190</v>
      </c>
      <c r="G4" s="58" t="s">
        <v>132</v>
      </c>
      <c r="H4" s="58" t="s">
        <v>191</v>
      </c>
      <c r="I4" s="63" t="s">
        <v>154</v>
      </c>
      <c r="J4" s="63" t="s">
        <v>133</v>
      </c>
      <c r="K4" s="63" t="s">
        <v>192</v>
      </c>
      <c r="L4" s="58" t="s">
        <v>194</v>
      </c>
      <c r="M4" s="58" t="s">
        <v>193</v>
      </c>
      <c r="N4" s="63" t="s">
        <v>195</v>
      </c>
      <c r="O4" s="63" t="s">
        <v>196</v>
      </c>
      <c r="P4" s="58" t="s">
        <v>197</v>
      </c>
      <c r="Q4" s="58" t="s">
        <v>198</v>
      </c>
      <c r="R4" s="58" t="s">
        <v>199</v>
      </c>
      <c r="S4" s="58" t="s">
        <v>200</v>
      </c>
      <c r="T4" s="63" t="s">
        <v>201</v>
      </c>
      <c r="U4" s="63" t="s">
        <v>202</v>
      </c>
      <c r="V4" s="63" t="s">
        <v>203</v>
      </c>
      <c r="W4" s="63" t="s">
        <v>204</v>
      </c>
      <c r="X4" s="63" t="s">
        <v>205</v>
      </c>
      <c r="Y4" s="63"/>
      <c r="Z4" s="58" t="s">
        <v>275</v>
      </c>
    </row>
    <row r="5" spans="2:26" x14ac:dyDescent="0.3">
      <c r="B5" s="1"/>
      <c r="C5" s="1"/>
    </row>
    <row r="6" spans="2:26" x14ac:dyDescent="0.3">
      <c r="B6" s="1" t="s">
        <v>3</v>
      </c>
    </row>
    <row r="7" spans="2:26" x14ac:dyDescent="0.3">
      <c r="B7" s="1"/>
      <c r="C7" s="1" t="s">
        <v>4</v>
      </c>
    </row>
    <row r="8" spans="2:26" x14ac:dyDescent="0.3">
      <c r="B8" s="1"/>
      <c r="C8" s="1" t="s">
        <v>5</v>
      </c>
      <c r="D8" s="3">
        <v>76</v>
      </c>
    </row>
    <row r="9" spans="2:26" x14ac:dyDescent="0.3">
      <c r="B9" s="1"/>
      <c r="C9" s="1" t="s">
        <v>6</v>
      </c>
      <c r="D9" s="4">
        <v>126535</v>
      </c>
      <c r="Z9" s="3">
        <f t="shared" ref="Z9:Z14" si="1">SUM(D9:X9)</f>
        <v>126535</v>
      </c>
    </row>
    <row r="10" spans="2:26" x14ac:dyDescent="0.3">
      <c r="B10" s="1"/>
      <c r="C10" s="1" t="s">
        <v>7</v>
      </c>
      <c r="D10" s="4">
        <v>58987</v>
      </c>
      <c r="Z10" s="3">
        <f t="shared" si="1"/>
        <v>58987</v>
      </c>
    </row>
    <row r="11" spans="2:26" x14ac:dyDescent="0.3">
      <c r="B11" s="1"/>
      <c r="C11" s="1" t="s">
        <v>8</v>
      </c>
      <c r="D11" s="4">
        <v>4602</v>
      </c>
      <c r="Z11" s="3">
        <f t="shared" si="1"/>
        <v>4602</v>
      </c>
    </row>
    <row r="12" spans="2:26" x14ac:dyDescent="0.3">
      <c r="B12" s="1"/>
      <c r="C12" s="1" t="s">
        <v>9</v>
      </c>
      <c r="D12" s="4">
        <v>14797</v>
      </c>
      <c r="H12" s="3">
        <v>25457.3</v>
      </c>
      <c r="Z12" s="3">
        <f t="shared" si="1"/>
        <v>40254.300000000003</v>
      </c>
    </row>
    <row r="13" spans="2:26" x14ac:dyDescent="0.3">
      <c r="B13" s="1"/>
      <c r="C13" s="1"/>
      <c r="D13" s="4"/>
      <c r="Z13" s="3">
        <f t="shared" si="1"/>
        <v>0</v>
      </c>
    </row>
    <row r="14" spans="2:26" x14ac:dyDescent="0.3">
      <c r="B14" s="1"/>
      <c r="C14" s="1" t="s">
        <v>10</v>
      </c>
      <c r="D14" s="2">
        <f>SUM(D8:D12)</f>
        <v>204997</v>
      </c>
      <c r="E14" s="2">
        <f t="shared" ref="E14:W14" si="2">SUM(E8:E12)</f>
        <v>0</v>
      </c>
      <c r="F14" s="2">
        <f t="shared" ref="F14" si="3">SUM(F8:F12)</f>
        <v>0</v>
      </c>
      <c r="G14" s="2">
        <f t="shared" ref="G14:O14" si="4">SUM(G8:G12)</f>
        <v>0</v>
      </c>
      <c r="H14" s="2">
        <f t="shared" si="4"/>
        <v>25457.3</v>
      </c>
      <c r="I14" s="2">
        <f t="shared" si="4"/>
        <v>0</v>
      </c>
      <c r="J14" s="2">
        <f t="shared" si="4"/>
        <v>0</v>
      </c>
      <c r="K14" s="2">
        <f t="shared" si="4"/>
        <v>0</v>
      </c>
      <c r="L14" s="2">
        <f t="shared" si="4"/>
        <v>0</v>
      </c>
      <c r="M14" s="2">
        <f t="shared" si="4"/>
        <v>0</v>
      </c>
      <c r="N14" s="2">
        <f t="shared" si="4"/>
        <v>0</v>
      </c>
      <c r="O14" s="2">
        <f t="shared" si="4"/>
        <v>0</v>
      </c>
      <c r="P14" s="2">
        <f t="shared" si="2"/>
        <v>0</v>
      </c>
      <c r="Q14" s="2">
        <f t="shared" si="2"/>
        <v>0</v>
      </c>
      <c r="R14" s="2">
        <f t="shared" si="2"/>
        <v>0</v>
      </c>
      <c r="S14" s="2">
        <f t="shared" si="2"/>
        <v>0</v>
      </c>
      <c r="T14" s="2">
        <f t="shared" si="2"/>
        <v>0</v>
      </c>
      <c r="U14" s="2">
        <f>SUM(U8:U12)</f>
        <v>0</v>
      </c>
      <c r="V14" s="2">
        <f t="shared" ref="V14" si="5">SUM(V8:V12)</f>
        <v>0</v>
      </c>
      <c r="W14" s="2">
        <f t="shared" si="2"/>
        <v>0</v>
      </c>
      <c r="X14" s="2">
        <f t="shared" ref="X14" si="6">SUM(X8:X12)</f>
        <v>0</v>
      </c>
      <c r="Y14" s="2"/>
      <c r="Z14" s="3">
        <f t="shared" si="1"/>
        <v>230454.3</v>
      </c>
    </row>
    <row r="15" spans="2:26" x14ac:dyDescent="0.3">
      <c r="B15" s="1"/>
      <c r="C15" s="1" t="s">
        <v>11</v>
      </c>
      <c r="D15" s="11">
        <f>D14</f>
        <v>204997</v>
      </c>
      <c r="E15" s="11">
        <f t="shared" ref="E15:S15" si="7">E14</f>
        <v>0</v>
      </c>
      <c r="F15" s="11">
        <f t="shared" ref="F15" si="8">F14</f>
        <v>0</v>
      </c>
      <c r="G15" s="11">
        <f t="shared" ref="G15:O15" si="9">G14</f>
        <v>0</v>
      </c>
      <c r="H15" s="11">
        <f t="shared" si="9"/>
        <v>25457.3</v>
      </c>
      <c r="I15" s="11">
        <f t="shared" si="9"/>
        <v>0</v>
      </c>
      <c r="J15" s="11">
        <f t="shared" si="9"/>
        <v>0</v>
      </c>
      <c r="K15" s="11">
        <f t="shared" si="9"/>
        <v>0</v>
      </c>
      <c r="L15" s="11">
        <f t="shared" si="9"/>
        <v>0</v>
      </c>
      <c r="M15" s="11">
        <f t="shared" si="9"/>
        <v>0</v>
      </c>
      <c r="N15" s="11">
        <f t="shared" si="9"/>
        <v>0</v>
      </c>
      <c r="O15" s="11">
        <f t="shared" si="9"/>
        <v>0</v>
      </c>
      <c r="P15" s="11">
        <f t="shared" si="7"/>
        <v>0</v>
      </c>
      <c r="Q15" s="11">
        <f t="shared" si="7"/>
        <v>0</v>
      </c>
      <c r="R15" s="11">
        <f t="shared" si="7"/>
        <v>0</v>
      </c>
      <c r="S15" s="11">
        <f t="shared" si="7"/>
        <v>0</v>
      </c>
      <c r="T15" s="11">
        <f>T14</f>
        <v>0</v>
      </c>
      <c r="U15" s="11">
        <f>U14</f>
        <v>0</v>
      </c>
      <c r="V15" s="11">
        <f t="shared" ref="V15" si="10">V14</f>
        <v>0</v>
      </c>
      <c r="W15" s="11">
        <f>W14</f>
        <v>0</v>
      </c>
      <c r="X15" s="11">
        <f t="shared" ref="X15" si="11">X14</f>
        <v>0</v>
      </c>
      <c r="Y15" s="11"/>
      <c r="Z15" s="11">
        <f>Z14</f>
        <v>230454.3</v>
      </c>
    </row>
    <row r="16" spans="2:26" x14ac:dyDescent="0.3">
      <c r="B16" s="1" t="s">
        <v>12</v>
      </c>
      <c r="D16" s="4"/>
    </row>
    <row r="17" spans="1:29" x14ac:dyDescent="0.3">
      <c r="A17" t="s">
        <v>13</v>
      </c>
      <c r="B17" s="1"/>
      <c r="C17" s="1" t="s">
        <v>14</v>
      </c>
      <c r="D17" s="4">
        <v>80335.44</v>
      </c>
      <c r="N17" s="3">
        <f>12000-D17</f>
        <v>-68335.44</v>
      </c>
      <c r="Z17" s="3">
        <f t="shared" ref="Z17:Z39" si="12">SUM(D17:X17)</f>
        <v>12000</v>
      </c>
    </row>
    <row r="18" spans="1:29" x14ac:dyDescent="0.3">
      <c r="A18" t="s">
        <v>13</v>
      </c>
      <c r="B18" s="1"/>
      <c r="C18" s="1" t="s">
        <v>15</v>
      </c>
      <c r="D18" s="4">
        <v>35766</v>
      </c>
      <c r="M18" s="3">
        <f>16800-D18</f>
        <v>-18966</v>
      </c>
      <c r="Z18" s="3">
        <f t="shared" si="12"/>
        <v>16800</v>
      </c>
      <c r="AC18" s="17"/>
    </row>
    <row r="19" spans="1:29" x14ac:dyDescent="0.3">
      <c r="A19" t="s">
        <v>13</v>
      </c>
      <c r="B19" s="1"/>
      <c r="C19" s="1" t="s">
        <v>16</v>
      </c>
      <c r="D19" s="4">
        <v>67863.240000000005</v>
      </c>
      <c r="L19" s="3">
        <f>(3039*12)-D19</f>
        <v>-31395.240000000005</v>
      </c>
      <c r="Z19" s="3">
        <f t="shared" si="12"/>
        <v>36468</v>
      </c>
    </row>
    <row r="20" spans="1:29" x14ac:dyDescent="0.3">
      <c r="A20" t="s">
        <v>13</v>
      </c>
      <c r="B20" s="1"/>
      <c r="C20" s="1" t="s">
        <v>17</v>
      </c>
      <c r="D20" s="4">
        <v>39303</v>
      </c>
      <c r="Z20" s="3">
        <f t="shared" si="12"/>
        <v>39303</v>
      </c>
    </row>
    <row r="21" spans="1:29" x14ac:dyDescent="0.3">
      <c r="A21" t="s">
        <v>18</v>
      </c>
      <c r="B21" s="1"/>
      <c r="C21" s="1" t="s">
        <v>19</v>
      </c>
      <c r="D21" s="4"/>
      <c r="Z21" s="3">
        <f t="shared" si="12"/>
        <v>0</v>
      </c>
    </row>
    <row r="22" spans="1:29" x14ac:dyDescent="0.3">
      <c r="A22" t="s">
        <v>18</v>
      </c>
      <c r="B22" s="1"/>
      <c r="C22" s="1" t="s">
        <v>20</v>
      </c>
      <c r="D22" s="4">
        <v>20909.239999999998</v>
      </c>
      <c r="J22" s="3">
        <f>28798-D22</f>
        <v>7888.760000000002</v>
      </c>
      <c r="Z22" s="3">
        <f t="shared" si="12"/>
        <v>28798</v>
      </c>
    </row>
    <row r="23" spans="1:29" x14ac:dyDescent="0.3">
      <c r="A23" t="s">
        <v>13</v>
      </c>
      <c r="B23" s="1"/>
      <c r="C23" s="1" t="s">
        <v>21</v>
      </c>
      <c r="D23" s="4">
        <v>8504.8799999999992</v>
      </c>
      <c r="I23" s="3">
        <f>8557-D23</f>
        <v>52.1200000000008</v>
      </c>
      <c r="Z23" s="3">
        <f t="shared" si="12"/>
        <v>8557</v>
      </c>
    </row>
    <row r="24" spans="1:29" x14ac:dyDescent="0.3">
      <c r="A24" t="s">
        <v>13</v>
      </c>
      <c r="B24" s="1"/>
      <c r="C24" s="1" t="s">
        <v>22</v>
      </c>
      <c r="D24" s="4">
        <v>22262.27</v>
      </c>
      <c r="G24" s="3">
        <v>-17451.07</v>
      </c>
      <c r="Z24" s="3">
        <f t="shared" si="12"/>
        <v>4811.2000000000007</v>
      </c>
    </row>
    <row r="25" spans="1:29" x14ac:dyDescent="0.3">
      <c r="A25" t="s">
        <v>13</v>
      </c>
      <c r="B25" s="1"/>
      <c r="C25" s="1" t="s">
        <v>23</v>
      </c>
      <c r="D25" s="4">
        <v>645.84</v>
      </c>
      <c r="I25" s="62"/>
      <c r="J25" s="62"/>
      <c r="K25" s="62"/>
      <c r="T25" s="64"/>
      <c r="U25" s="62"/>
      <c r="V25" s="62"/>
      <c r="W25" s="62"/>
      <c r="X25" s="62"/>
      <c r="Y25" s="62"/>
      <c r="Z25" s="3">
        <f t="shared" si="12"/>
        <v>645.84</v>
      </c>
    </row>
    <row r="26" spans="1:29" x14ac:dyDescent="0.3">
      <c r="A26" t="s">
        <v>13</v>
      </c>
      <c r="B26" s="1"/>
      <c r="C26" s="1" t="s">
        <v>24</v>
      </c>
      <c r="D26" s="4">
        <v>0</v>
      </c>
      <c r="Z26" s="3">
        <f t="shared" si="12"/>
        <v>0</v>
      </c>
    </row>
    <row r="27" spans="1:29" x14ac:dyDescent="0.3">
      <c r="A27" t="s">
        <v>13</v>
      </c>
      <c r="B27" s="1"/>
      <c r="C27" s="1" t="s">
        <v>25</v>
      </c>
      <c r="D27" s="4">
        <v>0</v>
      </c>
      <c r="Z27" s="3">
        <f t="shared" si="12"/>
        <v>0</v>
      </c>
      <c r="AB27" s="28"/>
    </row>
    <row r="28" spans="1:29" x14ac:dyDescent="0.3">
      <c r="A28" t="s">
        <v>13</v>
      </c>
      <c r="B28" s="1"/>
      <c r="C28" s="1" t="s">
        <v>26</v>
      </c>
      <c r="D28" s="4">
        <v>0</v>
      </c>
      <c r="Z28" s="3">
        <f t="shared" si="12"/>
        <v>0</v>
      </c>
    </row>
    <row r="29" spans="1:29" x14ac:dyDescent="0.3">
      <c r="A29" t="s">
        <v>13</v>
      </c>
      <c r="B29" s="1"/>
      <c r="C29" s="1" t="s">
        <v>27</v>
      </c>
      <c r="D29" s="4">
        <v>0</v>
      </c>
      <c r="Z29" s="3">
        <f t="shared" si="12"/>
        <v>0</v>
      </c>
    </row>
    <row r="30" spans="1:29" x14ac:dyDescent="0.3">
      <c r="A30" t="s">
        <v>13</v>
      </c>
      <c r="B30" s="1"/>
      <c r="C30" s="1" t="s">
        <v>28</v>
      </c>
      <c r="D30" s="4">
        <v>0</v>
      </c>
      <c r="Z30" s="3">
        <f t="shared" si="12"/>
        <v>0</v>
      </c>
    </row>
    <row r="31" spans="1:29" x14ac:dyDescent="0.3">
      <c r="A31" t="s">
        <v>13</v>
      </c>
      <c r="B31" s="1"/>
      <c r="C31" s="1" t="s">
        <v>29</v>
      </c>
      <c r="D31" s="4">
        <v>35488.080000000002</v>
      </c>
      <c r="L31" s="3">
        <v>-3168</v>
      </c>
      <c r="O31" s="3">
        <v>24430</v>
      </c>
      <c r="P31" s="3">
        <v>-875</v>
      </c>
      <c r="R31" s="3">
        <v>-5800</v>
      </c>
      <c r="Z31" s="3">
        <f t="shared" si="12"/>
        <v>50075.08</v>
      </c>
    </row>
    <row r="32" spans="1:29" x14ac:dyDescent="0.3">
      <c r="A32" t="s">
        <v>13</v>
      </c>
      <c r="B32" s="1"/>
      <c r="C32" s="1" t="s">
        <v>30</v>
      </c>
      <c r="D32" s="4">
        <v>30</v>
      </c>
      <c r="K32" s="3">
        <f>1357.79-D32</f>
        <v>1327.79</v>
      </c>
      <c r="Z32" s="3">
        <f t="shared" si="12"/>
        <v>1357.79</v>
      </c>
    </row>
    <row r="33" spans="1:26" x14ac:dyDescent="0.3">
      <c r="A33" t="s">
        <v>13</v>
      </c>
      <c r="B33" s="1"/>
      <c r="C33" s="1" t="s">
        <v>31</v>
      </c>
      <c r="D33" s="4"/>
      <c r="Z33" s="3">
        <f t="shared" si="12"/>
        <v>0</v>
      </c>
    </row>
    <row r="34" spans="1:26" x14ac:dyDescent="0.3">
      <c r="A34" t="s">
        <v>13</v>
      </c>
      <c r="B34" s="1"/>
      <c r="C34" s="1" t="s">
        <v>32</v>
      </c>
      <c r="D34" s="4">
        <v>79455.62</v>
      </c>
      <c r="T34" s="3">
        <f>-30233</f>
        <v>-30233</v>
      </c>
      <c r="U34" s="3">
        <v>-14662.920000000002</v>
      </c>
      <c r="V34" s="3">
        <f>-(27228/2)</f>
        <v>-13614</v>
      </c>
      <c r="Z34" s="3">
        <f t="shared" si="12"/>
        <v>20945.699999999997</v>
      </c>
    </row>
    <row r="35" spans="1:26" x14ac:dyDescent="0.3">
      <c r="A35" t="s">
        <v>13</v>
      </c>
      <c r="B35" s="1"/>
      <c r="C35" s="1" t="s">
        <v>33</v>
      </c>
      <c r="D35" s="4"/>
      <c r="Z35" s="3">
        <f t="shared" si="12"/>
        <v>0</v>
      </c>
    </row>
    <row r="36" spans="1:26" x14ac:dyDescent="0.3">
      <c r="A36" t="s">
        <v>13</v>
      </c>
      <c r="B36" s="1"/>
      <c r="C36" s="1" t="s">
        <v>34</v>
      </c>
      <c r="D36" s="4">
        <v>432</v>
      </c>
      <c r="W36" s="3">
        <f>(29839/6)-D36</f>
        <v>4541.166666666667</v>
      </c>
      <c r="Z36" s="3">
        <f t="shared" si="12"/>
        <v>4973.166666666667</v>
      </c>
    </row>
    <row r="37" spans="1:26" x14ac:dyDescent="0.3">
      <c r="B37" s="1"/>
      <c r="C37" s="1" t="s">
        <v>35</v>
      </c>
      <c r="D37" s="4">
        <v>1889.1666666666667</v>
      </c>
      <c r="X37" s="3">
        <f>4000-D37</f>
        <v>2110.833333333333</v>
      </c>
      <c r="Z37" s="3">
        <f t="shared" si="12"/>
        <v>4000</v>
      </c>
    </row>
    <row r="38" spans="1:26" x14ac:dyDescent="0.3">
      <c r="B38" s="1"/>
      <c r="C38" s="1" t="s">
        <v>36</v>
      </c>
      <c r="D38" s="4">
        <v>475</v>
      </c>
      <c r="Z38" s="3">
        <f t="shared" si="12"/>
        <v>475</v>
      </c>
    </row>
    <row r="39" spans="1:26" ht="15" thickBot="1" x14ac:dyDescent="0.35">
      <c r="A39" t="s">
        <v>13</v>
      </c>
      <c r="B39" s="1"/>
      <c r="C39" s="1" t="s">
        <v>37</v>
      </c>
      <c r="D39" s="4">
        <v>2986.24</v>
      </c>
      <c r="Q39" s="3">
        <v>-1049.02</v>
      </c>
      <c r="Z39" s="3">
        <f t="shared" si="12"/>
        <v>1937.2199999999998</v>
      </c>
    </row>
    <row r="40" spans="1:26" ht="15" thickBot="1" x14ac:dyDescent="0.35">
      <c r="B40" s="1"/>
      <c r="C40" s="1" t="s">
        <v>38</v>
      </c>
      <c r="D40" s="6">
        <f>SUM(D17:D39)</f>
        <v>396346.01666666672</v>
      </c>
      <c r="E40" s="6">
        <f t="shared" ref="E40:S40" si="13">SUM(E17:E39)</f>
        <v>0</v>
      </c>
      <c r="F40" s="6">
        <f t="shared" ref="F40" si="14">SUM(F17:F39)</f>
        <v>0</v>
      </c>
      <c r="G40" s="6">
        <f>SUM(G17:G39)</f>
        <v>-17451.07</v>
      </c>
      <c r="H40" s="6">
        <f>SUM(H17:H39)</f>
        <v>0</v>
      </c>
      <c r="I40" s="6">
        <f>SUM(I17:I39)</f>
        <v>52.1200000000008</v>
      </c>
      <c r="J40" s="6">
        <f t="shared" ref="J40" si="15">SUM(J17:J39)</f>
        <v>7888.760000000002</v>
      </c>
      <c r="K40" s="6">
        <f>SUM(K17:K39)</f>
        <v>1327.79</v>
      </c>
      <c r="L40" s="6">
        <f>SUM(L17:L39)</f>
        <v>-34563.240000000005</v>
      </c>
      <c r="M40" s="6">
        <f>SUM(M17:M39)</f>
        <v>-18966</v>
      </c>
      <c r="N40" s="6">
        <f>SUM(N17:N39)</f>
        <v>-68335.44</v>
      </c>
      <c r="O40" s="6">
        <f>SUM(O17:O39)</f>
        <v>24430</v>
      </c>
      <c r="P40" s="6">
        <f>SUM(P16:P39)</f>
        <v>-875</v>
      </c>
      <c r="Q40" s="6">
        <f>SUM(Q16:Q39)</f>
        <v>-1049.02</v>
      </c>
      <c r="R40" s="6">
        <f>SUM(R16:R39)</f>
        <v>-5800</v>
      </c>
      <c r="S40" s="6">
        <f t="shared" si="13"/>
        <v>0</v>
      </c>
      <c r="T40" s="6">
        <f>SUM(T17:T39)</f>
        <v>-30233</v>
      </c>
      <c r="U40" s="6">
        <f>SUM(U17:U39)</f>
        <v>-14662.920000000002</v>
      </c>
      <c r="V40" s="6">
        <f>SUM(V17:V39)</f>
        <v>-13614</v>
      </c>
      <c r="W40" s="6">
        <f>SUM(W17:W39)</f>
        <v>4541.166666666667</v>
      </c>
      <c r="X40" s="6">
        <f t="shared" ref="X40" si="16">SUM(X17:X39)</f>
        <v>2110.833333333333</v>
      </c>
      <c r="Y40" s="6"/>
      <c r="Z40" s="6">
        <f>SUM(Z17:Z39)</f>
        <v>231146.99666666664</v>
      </c>
    </row>
    <row r="41" spans="1:26" x14ac:dyDescent="0.3">
      <c r="B41" s="1" t="s">
        <v>39</v>
      </c>
      <c r="C41" s="1"/>
      <c r="D41" s="4">
        <f>D15-D40</f>
        <v>-191349.01666666672</v>
      </c>
      <c r="E41" s="4">
        <f t="shared" ref="E41:S41" si="17">E15-E40</f>
        <v>0</v>
      </c>
      <c r="F41" s="4">
        <f t="shared" ref="F41" si="18">F15-F40</f>
        <v>0</v>
      </c>
      <c r="G41" s="4">
        <f>G15-G40</f>
        <v>17451.07</v>
      </c>
      <c r="H41" s="4">
        <f>H15-H40</f>
        <v>25457.3</v>
      </c>
      <c r="I41" s="4">
        <f>I15-I40</f>
        <v>-52.1200000000008</v>
      </c>
      <c r="J41" s="4">
        <f t="shared" ref="J41" si="19">J15-J40</f>
        <v>-7888.760000000002</v>
      </c>
      <c r="K41" s="4">
        <f>K15-K40</f>
        <v>-1327.79</v>
      </c>
      <c r="L41" s="4">
        <f>L15-L40</f>
        <v>34563.240000000005</v>
      </c>
      <c r="M41" s="4">
        <f>M15-M40</f>
        <v>18966</v>
      </c>
      <c r="N41" s="4">
        <f>N15-N40</f>
        <v>68335.44</v>
      </c>
      <c r="O41" s="4">
        <f>O15-O40</f>
        <v>-24430</v>
      </c>
      <c r="P41" s="4">
        <f t="shared" si="17"/>
        <v>875</v>
      </c>
      <c r="Q41" s="4">
        <f t="shared" si="17"/>
        <v>1049.02</v>
      </c>
      <c r="R41" s="4">
        <f t="shared" si="17"/>
        <v>5800</v>
      </c>
      <c r="S41" s="4">
        <f t="shared" si="17"/>
        <v>0</v>
      </c>
      <c r="T41" s="4">
        <f>T15-T40</f>
        <v>30233</v>
      </c>
      <c r="U41" s="4">
        <f>U15-U40</f>
        <v>14662.920000000002</v>
      </c>
      <c r="V41" s="4">
        <f>V15-V40</f>
        <v>13614</v>
      </c>
      <c r="W41" s="4">
        <f>W15-W40</f>
        <v>-4541.166666666667</v>
      </c>
      <c r="X41" s="4">
        <f t="shared" ref="X41" si="20">X15-X40</f>
        <v>-2110.833333333333</v>
      </c>
      <c r="Y41" s="4"/>
      <c r="Z41" s="4">
        <f>Z15-Z40</f>
        <v>-692.6966666666558</v>
      </c>
    </row>
    <row r="42" spans="1:26" x14ac:dyDescent="0.3">
      <c r="B42" s="1" t="s">
        <v>40</v>
      </c>
      <c r="C42" s="1"/>
      <c r="D42" s="4"/>
    </row>
    <row r="43" spans="1:26" x14ac:dyDescent="0.3">
      <c r="B43" s="1"/>
      <c r="C43" s="1" t="s">
        <v>41</v>
      </c>
      <c r="D43" s="4"/>
      <c r="Z43" s="3">
        <f t="shared" ref="Z43:Z48" si="21">SUM(D43:X43)</f>
        <v>0</v>
      </c>
    </row>
    <row r="44" spans="1:26" x14ac:dyDescent="0.3">
      <c r="A44" t="s">
        <v>13</v>
      </c>
      <c r="B44" s="1"/>
      <c r="C44" s="1" t="s">
        <v>42</v>
      </c>
      <c r="D44" s="2">
        <v>132574</v>
      </c>
      <c r="E44" s="3">
        <v>-114315</v>
      </c>
      <c r="F44" s="3">
        <f>Depreciation!M13</f>
        <v>-8006.8009999999995</v>
      </c>
      <c r="G44" s="3">
        <f>G68/20+G71/50</f>
        <v>533.55349999999999</v>
      </c>
      <c r="I44" s="3">
        <f>I68/15</f>
        <v>0</v>
      </c>
      <c r="Z44" s="3">
        <f t="shared" si="21"/>
        <v>10785.752500000001</v>
      </c>
    </row>
    <row r="45" spans="1:26" x14ac:dyDescent="0.3">
      <c r="A45" t="s">
        <v>13</v>
      </c>
      <c r="B45" s="1"/>
      <c r="C45" s="1" t="s">
        <v>43</v>
      </c>
      <c r="D45" s="2"/>
      <c r="Z45" s="3">
        <f t="shared" si="21"/>
        <v>0</v>
      </c>
    </row>
    <row r="46" spans="1:26" x14ac:dyDescent="0.3">
      <c r="A46" t="s">
        <v>13</v>
      </c>
      <c r="B46" s="1"/>
      <c r="C46" s="1" t="s">
        <v>44</v>
      </c>
      <c r="D46" s="2"/>
      <c r="Z46" s="3">
        <f t="shared" si="21"/>
        <v>0</v>
      </c>
    </row>
    <row r="47" spans="1:26" x14ac:dyDescent="0.3">
      <c r="A47" t="s">
        <v>13</v>
      </c>
      <c r="B47" s="1"/>
      <c r="C47" s="1" t="s">
        <v>45</v>
      </c>
      <c r="D47" s="2"/>
      <c r="Z47" s="3">
        <f t="shared" si="21"/>
        <v>0</v>
      </c>
    </row>
    <row r="48" spans="1:26" x14ac:dyDescent="0.3">
      <c r="A48" t="s">
        <v>13</v>
      </c>
      <c r="B48" s="1"/>
      <c r="C48" s="1" t="s">
        <v>46</v>
      </c>
      <c r="D48" s="2">
        <v>1480</v>
      </c>
      <c r="Z48" s="3">
        <f t="shared" si="21"/>
        <v>1480</v>
      </c>
    </row>
    <row r="49" spans="1:28" x14ac:dyDescent="0.3">
      <c r="A49" t="s">
        <v>13</v>
      </c>
      <c r="B49" s="1"/>
      <c r="C49" s="1" t="s">
        <v>47</v>
      </c>
      <c r="D49" s="7">
        <f>SUM(D44:D48)</f>
        <v>134054</v>
      </c>
      <c r="E49" s="7">
        <f t="shared" ref="E49:S49" si="22">SUM(E46:E48)</f>
        <v>0</v>
      </c>
      <c r="F49" s="7">
        <f t="shared" si="22"/>
        <v>0</v>
      </c>
      <c r="G49" s="7">
        <f>SUM(G46:G48)</f>
        <v>0</v>
      </c>
      <c r="H49" s="7">
        <f>SUM(H46:H48)</f>
        <v>0</v>
      </c>
      <c r="I49" s="7">
        <f>SUM(I46:I48)</f>
        <v>0</v>
      </c>
      <c r="J49" s="7">
        <f t="shared" ref="J49" si="23">SUM(J46:J48)</f>
        <v>0</v>
      </c>
      <c r="K49" s="7">
        <f>SUM(K46:K48)</f>
        <v>0</v>
      </c>
      <c r="L49" s="7">
        <f>SUM(L46:L48)</f>
        <v>0</v>
      </c>
      <c r="M49" s="7">
        <f>SUM(M46:M48)</f>
        <v>0</v>
      </c>
      <c r="N49" s="7">
        <f>SUM(N46:N48)</f>
        <v>0</v>
      </c>
      <c r="O49" s="7">
        <f>SUM(O46:O48)</f>
        <v>0</v>
      </c>
      <c r="P49" s="7">
        <f t="shared" si="22"/>
        <v>0</v>
      </c>
      <c r="Q49" s="7">
        <f t="shared" si="22"/>
        <v>0</v>
      </c>
      <c r="R49" s="7">
        <f t="shared" si="22"/>
        <v>0</v>
      </c>
      <c r="S49" s="7">
        <f t="shared" si="22"/>
        <v>0</v>
      </c>
      <c r="T49" s="7">
        <f>SUM(T46:T48)</f>
        <v>0</v>
      </c>
      <c r="U49" s="7">
        <f>SUM(U46:U48)</f>
        <v>0</v>
      </c>
      <c r="V49" s="7">
        <f>SUM(V46:V48)</f>
        <v>0</v>
      </c>
      <c r="W49" s="7">
        <f>SUM(W46:W48)</f>
        <v>0</v>
      </c>
      <c r="X49" s="7">
        <f t="shared" ref="X49" si="24">SUM(X46:X48)</f>
        <v>0</v>
      </c>
      <c r="Y49" s="7"/>
      <c r="Z49" s="7">
        <f>SUM(Z45:Z48)</f>
        <v>1480</v>
      </c>
      <c r="AB49" s="60"/>
    </row>
    <row r="50" spans="1:28" x14ac:dyDescent="0.3">
      <c r="B50" s="1"/>
      <c r="C50" s="1" t="s">
        <v>48</v>
      </c>
      <c r="Z50" s="3">
        <f>SUM(D50:X50)</f>
        <v>0</v>
      </c>
    </row>
    <row r="51" spans="1:28" x14ac:dyDescent="0.3">
      <c r="A51" t="s">
        <v>13</v>
      </c>
      <c r="B51" s="1"/>
      <c r="C51" s="1" t="s">
        <v>49</v>
      </c>
      <c r="D51" s="3">
        <v>837.16</v>
      </c>
      <c r="S51" s="3">
        <v>-320</v>
      </c>
      <c r="Z51" s="3">
        <f>SUM(D51:X51)</f>
        <v>517.16</v>
      </c>
    </row>
    <row r="52" spans="1:28" x14ac:dyDescent="0.3">
      <c r="A52" t="s">
        <v>13</v>
      </c>
      <c r="B52" s="1"/>
      <c r="C52" s="1" t="s">
        <v>50</v>
      </c>
      <c r="D52" s="3">
        <v>0</v>
      </c>
      <c r="Z52" s="3">
        <f>SUM(D52:X52)</f>
        <v>0</v>
      </c>
    </row>
    <row r="53" spans="1:28" ht="15" thickBot="1" x14ac:dyDescent="0.35">
      <c r="A53" t="s">
        <v>13</v>
      </c>
      <c r="B53" s="1"/>
      <c r="C53" s="1" t="s">
        <v>51</v>
      </c>
      <c r="D53" s="2">
        <v>40</v>
      </c>
      <c r="Z53" s="3">
        <f>SUM(D53:X53)</f>
        <v>40</v>
      </c>
    </row>
    <row r="54" spans="1:28" ht="15" thickBot="1" x14ac:dyDescent="0.35">
      <c r="B54" s="1"/>
      <c r="C54" s="1" t="s">
        <v>52</v>
      </c>
      <c r="D54" s="8">
        <f>ROUND(SUM(D49:D53),5)</f>
        <v>134931.16</v>
      </c>
      <c r="E54" s="8">
        <f t="shared" ref="E54:W54" si="25">ROUND(SUM(E43:E44)+SUM(E49:E53),5)</f>
        <v>-114315</v>
      </c>
      <c r="F54" s="8">
        <f t="shared" ref="F54" si="26">ROUND(SUM(F43:F44)+SUM(F49:F53),5)</f>
        <v>-8006.8010000000004</v>
      </c>
      <c r="G54" s="8">
        <f t="shared" ref="G54:O54" si="27">ROUND(SUM(G43:G44)+SUM(G49:G53),5)</f>
        <v>533.55349999999999</v>
      </c>
      <c r="H54" s="8">
        <f t="shared" si="27"/>
        <v>0</v>
      </c>
      <c r="I54" s="8">
        <f t="shared" si="27"/>
        <v>0</v>
      </c>
      <c r="J54" s="8">
        <f t="shared" si="27"/>
        <v>0</v>
      </c>
      <c r="K54" s="8">
        <f t="shared" si="27"/>
        <v>0</v>
      </c>
      <c r="L54" s="8">
        <f t="shared" si="27"/>
        <v>0</v>
      </c>
      <c r="M54" s="8">
        <f t="shared" si="27"/>
        <v>0</v>
      </c>
      <c r="N54" s="8">
        <f t="shared" si="27"/>
        <v>0</v>
      </c>
      <c r="O54" s="8">
        <f t="shared" si="27"/>
        <v>0</v>
      </c>
      <c r="P54" s="8">
        <f t="shared" si="25"/>
        <v>0</v>
      </c>
      <c r="Q54" s="8">
        <f t="shared" si="25"/>
        <v>0</v>
      </c>
      <c r="R54" s="8">
        <f t="shared" si="25"/>
        <v>0</v>
      </c>
      <c r="S54" s="8">
        <f t="shared" si="25"/>
        <v>-320</v>
      </c>
      <c r="T54" s="8">
        <f>ROUND(SUM(T43:T44)+SUM(T49:T53),5)</f>
        <v>0</v>
      </c>
      <c r="U54" s="8">
        <f>ROUND(SUM(U43:U44)+SUM(U49:U53),5)</f>
        <v>0</v>
      </c>
      <c r="V54" s="8">
        <f>ROUND(SUM(V43:V44)+SUM(V49:V53),5)</f>
        <v>0</v>
      </c>
      <c r="W54" s="8">
        <f t="shared" si="25"/>
        <v>0</v>
      </c>
      <c r="X54" s="8">
        <f t="shared" ref="X54" si="28">ROUND(SUM(X43:X44)+SUM(X49:X53),5)</f>
        <v>0</v>
      </c>
      <c r="Y54" s="8"/>
      <c r="Z54" s="8">
        <f>ROUND(SUM(Z43:Z44)+SUM(Z49:Z53),5)</f>
        <v>12822.9125</v>
      </c>
    </row>
    <row r="55" spans="1:28" ht="15" thickBot="1" x14ac:dyDescent="0.35">
      <c r="B55" s="1" t="s">
        <v>53</v>
      </c>
      <c r="C55" s="1"/>
      <c r="D55" s="8">
        <f>-D54</f>
        <v>-134931.16</v>
      </c>
      <c r="E55" s="8">
        <f t="shared" ref="E55:S55" si="29">-E54</f>
        <v>114315</v>
      </c>
      <c r="F55" s="8">
        <f t="shared" ref="F55" si="30">-F54</f>
        <v>8006.8010000000004</v>
      </c>
      <c r="G55" s="8">
        <f>-G54</f>
        <v>-533.55349999999999</v>
      </c>
      <c r="H55" s="8">
        <f>-H54</f>
        <v>0</v>
      </c>
      <c r="I55" s="8">
        <f>-I54</f>
        <v>0</v>
      </c>
      <c r="J55" s="8">
        <f t="shared" ref="J55" si="31">-J54</f>
        <v>0</v>
      </c>
      <c r="K55" s="8">
        <f>-K54</f>
        <v>0</v>
      </c>
      <c r="L55" s="8">
        <f>-L54</f>
        <v>0</v>
      </c>
      <c r="M55" s="8">
        <f>-M54</f>
        <v>0</v>
      </c>
      <c r="N55" s="8">
        <f>-N54</f>
        <v>0</v>
      </c>
      <c r="O55" s="8">
        <f>-O54</f>
        <v>0</v>
      </c>
      <c r="P55" s="8">
        <f t="shared" si="29"/>
        <v>0</v>
      </c>
      <c r="Q55" s="8">
        <f t="shared" si="29"/>
        <v>0</v>
      </c>
      <c r="R55" s="8">
        <f t="shared" si="29"/>
        <v>0</v>
      </c>
      <c r="S55" s="8">
        <f t="shared" si="29"/>
        <v>320</v>
      </c>
      <c r="T55" s="8">
        <f>-T54</f>
        <v>0</v>
      </c>
      <c r="U55" s="8">
        <f>-U54</f>
        <v>0</v>
      </c>
      <c r="V55" s="8">
        <f>-V54</f>
        <v>0</v>
      </c>
      <c r="W55" s="8">
        <f>-W54</f>
        <v>0</v>
      </c>
      <c r="X55" s="8">
        <f t="shared" ref="X55" si="32">-X54</f>
        <v>0</v>
      </c>
      <c r="Y55" s="8"/>
      <c r="Z55" s="8">
        <f>-Z54</f>
        <v>-12822.9125</v>
      </c>
    </row>
    <row r="56" spans="1:28" ht="15" thickBot="1" x14ac:dyDescent="0.35">
      <c r="B56" s="9" t="s">
        <v>54</v>
      </c>
      <c r="C56" s="9"/>
      <c r="D56" s="10">
        <f>ROUND(D41+D55,5)-1</f>
        <v>-326281.17667000002</v>
      </c>
      <c r="E56" s="10">
        <f t="shared" ref="E56:W56" si="33">ROUND(E41+E55,5)</f>
        <v>114315</v>
      </c>
      <c r="F56" s="10">
        <f t="shared" ref="F56" si="34">ROUND(F41+F55,5)</f>
        <v>8006.8010000000004</v>
      </c>
      <c r="G56" s="10">
        <f>ROUND(G41+G55,5)</f>
        <v>16917.516500000002</v>
      </c>
      <c r="H56" s="10">
        <f>ROUND(H41+H55,5)</f>
        <v>25457.3</v>
      </c>
      <c r="I56" s="10">
        <f>ROUND(I41+I55,5)</f>
        <v>-52.12</v>
      </c>
      <c r="J56" s="10">
        <f t="shared" ref="J56" si="35">ROUND(J41+J55,5)</f>
        <v>-7888.76</v>
      </c>
      <c r="K56" s="10">
        <f>ROUND(K41+K55,5)</f>
        <v>-1327.79</v>
      </c>
      <c r="L56" s="10">
        <f>ROUND(L41+L55,5)</f>
        <v>34563.24</v>
      </c>
      <c r="M56" s="10">
        <f>ROUND(M41+M55,5)</f>
        <v>18966</v>
      </c>
      <c r="N56" s="10">
        <f>ROUND(N41+N55,5)</f>
        <v>68335.44</v>
      </c>
      <c r="O56" s="10">
        <f>ROUND(O41+O55,5)</f>
        <v>-24430</v>
      </c>
      <c r="P56" s="10">
        <f t="shared" si="33"/>
        <v>875</v>
      </c>
      <c r="Q56" s="10">
        <f t="shared" si="33"/>
        <v>1049.02</v>
      </c>
      <c r="R56" s="10">
        <f t="shared" si="33"/>
        <v>5800</v>
      </c>
      <c r="S56" s="10">
        <f t="shared" si="33"/>
        <v>320</v>
      </c>
      <c r="T56" s="10">
        <f>ROUND(T41+T55,5)</f>
        <v>30233</v>
      </c>
      <c r="U56" s="10">
        <f>ROUND(U41+U55,5)</f>
        <v>14662.92</v>
      </c>
      <c r="V56" s="10">
        <f>ROUND(V41+V55,5)</f>
        <v>13614</v>
      </c>
      <c r="W56" s="10">
        <f t="shared" si="33"/>
        <v>-4541.1666699999996</v>
      </c>
      <c r="X56" s="10">
        <f t="shared" ref="X56" si="36">ROUND(X41+X55,5)</f>
        <v>-2110.8333299999999</v>
      </c>
      <c r="Y56" s="10"/>
      <c r="Z56" s="10">
        <f>ROUND(Z41+Z55,5)</f>
        <v>-13515.60917</v>
      </c>
      <c r="AB56" s="17"/>
    </row>
    <row r="57" spans="1:28" ht="15" thickTop="1" x14ac:dyDescent="0.3"/>
    <row r="58" spans="1:28" x14ac:dyDescent="0.3">
      <c r="B58" s="12" t="s">
        <v>55</v>
      </c>
      <c r="C58" s="12"/>
      <c r="D58" s="69"/>
      <c r="AB58" s="17"/>
    </row>
    <row r="59" spans="1:28" x14ac:dyDescent="0.3">
      <c r="B59" s="12"/>
      <c r="C59" s="12"/>
      <c r="D59" s="20"/>
    </row>
    <row r="60" spans="1:28" x14ac:dyDescent="0.3">
      <c r="B60" s="12"/>
      <c r="C60" s="12" t="s">
        <v>57</v>
      </c>
      <c r="D60" s="21"/>
      <c r="Z60" s="3">
        <f t="shared" ref="Z60:Z82" si="37">SUM(D60:X60)</f>
        <v>0</v>
      </c>
    </row>
    <row r="61" spans="1:28" x14ac:dyDescent="0.3">
      <c r="B61" s="12"/>
      <c r="C61" s="12" t="s">
        <v>58</v>
      </c>
      <c r="D61" s="21"/>
      <c r="Z61" s="3">
        <f t="shared" si="37"/>
        <v>0</v>
      </c>
    </row>
    <row r="62" spans="1:28" x14ac:dyDescent="0.3">
      <c r="B62" s="12"/>
      <c r="C62" s="12" t="s">
        <v>59</v>
      </c>
      <c r="D62" s="21"/>
      <c r="Z62" s="3">
        <f t="shared" si="37"/>
        <v>0</v>
      </c>
    </row>
    <row r="63" spans="1:28" x14ac:dyDescent="0.3">
      <c r="B63" s="12"/>
      <c r="C63" s="12" t="s">
        <v>60</v>
      </c>
      <c r="D63" s="21">
        <v>774820</v>
      </c>
      <c r="Z63" s="3">
        <f t="shared" si="37"/>
        <v>774820</v>
      </c>
    </row>
    <row r="64" spans="1:28" x14ac:dyDescent="0.3">
      <c r="B64" s="12"/>
      <c r="C64" s="12" t="s">
        <v>61</v>
      </c>
      <c r="D64" s="21"/>
      <c r="Z64" s="3">
        <f t="shared" si="37"/>
        <v>0</v>
      </c>
    </row>
    <row r="65" spans="2:26" x14ac:dyDescent="0.3">
      <c r="B65" s="12"/>
      <c r="C65" s="12" t="s">
        <v>62</v>
      </c>
      <c r="D65" s="21"/>
      <c r="Z65" s="3">
        <f t="shared" si="37"/>
        <v>0</v>
      </c>
    </row>
    <row r="66" spans="2:26" x14ac:dyDescent="0.3">
      <c r="B66" s="12"/>
      <c r="C66" s="12" t="s">
        <v>63</v>
      </c>
      <c r="D66" s="21">
        <v>123943</v>
      </c>
      <c r="Z66" s="3">
        <f t="shared" si="37"/>
        <v>123943</v>
      </c>
    </row>
    <row r="67" spans="2:26" x14ac:dyDescent="0.3">
      <c r="B67" s="12"/>
      <c r="C67" s="12" t="s">
        <v>64</v>
      </c>
      <c r="D67" s="21">
        <v>144293</v>
      </c>
      <c r="E67" s="3">
        <f>-D67</f>
        <v>-144293</v>
      </c>
      <c r="Z67" s="3">
        <f t="shared" si="37"/>
        <v>0</v>
      </c>
    </row>
    <row r="68" spans="2:26" x14ac:dyDescent="0.3">
      <c r="B68" s="12"/>
      <c r="C68" s="12" t="s">
        <v>65</v>
      </c>
      <c r="D68" s="21">
        <v>225967</v>
      </c>
      <c r="E68" s="3">
        <v>-134000</v>
      </c>
      <c r="G68" s="3">
        <v>6151.07</v>
      </c>
      <c r="I68" s="3">
        <v>0</v>
      </c>
      <c r="Z68" s="3">
        <f t="shared" si="37"/>
        <v>98118.07</v>
      </c>
    </row>
    <row r="69" spans="2:26" x14ac:dyDescent="0.3">
      <c r="B69" s="12"/>
      <c r="C69" s="12" t="s">
        <v>66</v>
      </c>
      <c r="D69" s="21">
        <v>5078</v>
      </c>
      <c r="Z69" s="3">
        <f t="shared" si="37"/>
        <v>5078</v>
      </c>
    </row>
    <row r="70" spans="2:26" x14ac:dyDescent="0.3">
      <c r="B70" s="12"/>
      <c r="C70" s="12" t="s">
        <v>67</v>
      </c>
      <c r="D70" s="21">
        <v>0</v>
      </c>
      <c r="Z70" s="3">
        <f t="shared" si="37"/>
        <v>0</v>
      </c>
    </row>
    <row r="71" spans="2:26" x14ac:dyDescent="0.3">
      <c r="B71" s="12"/>
      <c r="C71" s="12" t="s">
        <v>68</v>
      </c>
      <c r="D71" s="22">
        <v>112500</v>
      </c>
      <c r="E71" s="3">
        <f>-D71</f>
        <v>-112500</v>
      </c>
      <c r="G71" s="3">
        <v>11300</v>
      </c>
      <c r="Z71" s="3">
        <f t="shared" si="37"/>
        <v>11300</v>
      </c>
    </row>
    <row r="72" spans="2:26" x14ac:dyDescent="0.3">
      <c r="B72" s="12"/>
      <c r="C72" s="12" t="s">
        <v>69</v>
      </c>
      <c r="D72" s="22">
        <v>206062.92</v>
      </c>
      <c r="Z72" s="3">
        <f t="shared" si="37"/>
        <v>206062.92</v>
      </c>
    </row>
    <row r="73" spans="2:26" x14ac:dyDescent="0.3">
      <c r="B73" s="12"/>
      <c r="C73" s="12" t="s">
        <v>70</v>
      </c>
      <c r="D73" s="22">
        <v>268915</v>
      </c>
      <c r="E73" s="3">
        <v>-241664</v>
      </c>
      <c r="Z73" s="3">
        <f t="shared" si="37"/>
        <v>27251</v>
      </c>
    </row>
    <row r="74" spans="2:26" x14ac:dyDescent="0.3">
      <c r="B74" s="12"/>
      <c r="C74" s="12" t="s">
        <v>71</v>
      </c>
      <c r="D74" s="22">
        <v>13823</v>
      </c>
      <c r="Z74" s="3">
        <f t="shared" si="37"/>
        <v>13823</v>
      </c>
    </row>
    <row r="75" spans="2:26" x14ac:dyDescent="0.3">
      <c r="B75" s="12"/>
      <c r="C75" s="12" t="s">
        <v>72</v>
      </c>
      <c r="D75" s="22">
        <v>3051</v>
      </c>
      <c r="Z75" s="3">
        <f t="shared" si="37"/>
        <v>3051</v>
      </c>
    </row>
    <row r="76" spans="2:26" x14ac:dyDescent="0.3">
      <c r="B76" s="12"/>
      <c r="C76" s="12" t="s">
        <v>73</v>
      </c>
      <c r="D76" s="22"/>
      <c r="Z76" s="3">
        <f t="shared" si="37"/>
        <v>0</v>
      </c>
    </row>
    <row r="77" spans="2:26" x14ac:dyDescent="0.3">
      <c r="B77" s="12"/>
      <c r="C77" s="12" t="s">
        <v>74</v>
      </c>
      <c r="D77" s="22">
        <v>98000</v>
      </c>
      <c r="E77" s="3">
        <f>-D77</f>
        <v>-98000</v>
      </c>
      <c r="Z77" s="3">
        <f t="shared" si="37"/>
        <v>0</v>
      </c>
    </row>
    <row r="78" spans="2:26" x14ac:dyDescent="0.3">
      <c r="B78" s="12"/>
      <c r="C78" s="12" t="s">
        <v>75</v>
      </c>
      <c r="D78" s="22"/>
      <c r="Z78" s="3">
        <f t="shared" si="37"/>
        <v>0</v>
      </c>
    </row>
    <row r="79" spans="2:26" x14ac:dyDescent="0.3">
      <c r="B79" s="12"/>
      <c r="C79" s="12" t="s">
        <v>76</v>
      </c>
      <c r="D79" s="22"/>
      <c r="Z79" s="3">
        <f t="shared" si="37"/>
        <v>0</v>
      </c>
    </row>
    <row r="80" spans="2:26" x14ac:dyDescent="0.3">
      <c r="B80" s="12"/>
      <c r="C80" s="12" t="s">
        <v>77</v>
      </c>
      <c r="D80" s="21"/>
      <c r="Z80" s="3">
        <f t="shared" si="37"/>
        <v>0</v>
      </c>
    </row>
    <row r="81" spans="2:26" x14ac:dyDescent="0.3">
      <c r="B81" s="12"/>
      <c r="C81" s="12" t="s">
        <v>78</v>
      </c>
      <c r="D81" s="21"/>
      <c r="Z81" s="3">
        <f t="shared" si="37"/>
        <v>0</v>
      </c>
    </row>
    <row r="82" spans="2:26" x14ac:dyDescent="0.3">
      <c r="B82" s="12"/>
      <c r="C82" s="13"/>
      <c r="D82" s="55"/>
      <c r="Z82" s="3">
        <f t="shared" si="37"/>
        <v>0</v>
      </c>
    </row>
    <row r="83" spans="2:26" x14ac:dyDescent="0.3">
      <c r="B83" s="12"/>
      <c r="C83" s="14" t="s">
        <v>79</v>
      </c>
      <c r="D83" s="53">
        <f>SUM(D60:D82)</f>
        <v>1976452.92</v>
      </c>
      <c r="E83" s="53">
        <f t="shared" ref="E83:Z83" si="38">SUM(E60:E82)</f>
        <v>-730457</v>
      </c>
      <c r="F83" s="53">
        <f t="shared" si="38"/>
        <v>0</v>
      </c>
      <c r="G83" s="53">
        <f>SUM(G60:G82)</f>
        <v>17451.07</v>
      </c>
      <c r="H83" s="53">
        <f>SUM(H60:H82)</f>
        <v>0</v>
      </c>
      <c r="I83" s="53">
        <f>SUM(I60:I82)</f>
        <v>0</v>
      </c>
      <c r="J83" s="53">
        <f t="shared" ref="J83" si="39">SUM(J60:J82)</f>
        <v>0</v>
      </c>
      <c r="K83" s="53">
        <f>SUM(K60:K82)</f>
        <v>0</v>
      </c>
      <c r="L83" s="53">
        <f>SUM(L60:L82)</f>
        <v>0</v>
      </c>
      <c r="M83" s="53">
        <f>SUM(M60:M82)</f>
        <v>0</v>
      </c>
      <c r="N83" s="53">
        <f>SUM(N60:N82)</f>
        <v>0</v>
      </c>
      <c r="O83" s="53">
        <f>SUM(O60:O82)</f>
        <v>0</v>
      </c>
      <c r="P83" s="53">
        <f t="shared" si="38"/>
        <v>0</v>
      </c>
      <c r="Q83" s="53">
        <f t="shared" si="38"/>
        <v>0</v>
      </c>
      <c r="R83" s="53">
        <f t="shared" si="38"/>
        <v>0</v>
      </c>
      <c r="S83" s="53">
        <f t="shared" si="38"/>
        <v>0</v>
      </c>
      <c r="T83" s="53">
        <f>SUM(T60:T82)</f>
        <v>0</v>
      </c>
      <c r="U83" s="53">
        <f>SUM(U60:U82)</f>
        <v>0</v>
      </c>
      <c r="V83" s="53">
        <f>SUM(V60:V82)</f>
        <v>0</v>
      </c>
      <c r="W83" s="53">
        <f>SUM(W60:W82)</f>
        <v>0</v>
      </c>
      <c r="X83" s="53">
        <f t="shared" ref="X83" si="40">SUM(X60:X82)</f>
        <v>0</v>
      </c>
      <c r="Y83" s="53"/>
      <c r="Z83" s="53">
        <f t="shared" si="38"/>
        <v>1263446.99</v>
      </c>
    </row>
    <row r="84" spans="2:26" x14ac:dyDescent="0.3">
      <c r="B84" s="12"/>
      <c r="C84" s="12"/>
    </row>
    <row r="85" spans="2:26" x14ac:dyDescent="0.3">
      <c r="B85" s="12" t="s">
        <v>80</v>
      </c>
      <c r="C85" s="12"/>
      <c r="D85" s="57">
        <v>-1145428</v>
      </c>
      <c r="E85" s="3">
        <v>117603</v>
      </c>
      <c r="Z85" s="3">
        <f>SUM(D85:X85)</f>
        <v>-1027825</v>
      </c>
    </row>
    <row r="86" spans="2:26" x14ac:dyDescent="0.3">
      <c r="B86" s="12"/>
      <c r="C86" s="12" t="s">
        <v>81</v>
      </c>
      <c r="D86" s="53">
        <f>D83+D85</f>
        <v>831024.91999999993</v>
      </c>
      <c r="E86" s="53">
        <f t="shared" ref="E86:Z86" si="41">E83+E85</f>
        <v>-612854</v>
      </c>
      <c r="F86" s="53">
        <f t="shared" si="41"/>
        <v>0</v>
      </c>
      <c r="G86" s="53">
        <f>G83+G85</f>
        <v>17451.07</v>
      </c>
      <c r="H86" s="53">
        <f>H83+H85</f>
        <v>0</v>
      </c>
      <c r="I86" s="53">
        <f>I83+I85</f>
        <v>0</v>
      </c>
      <c r="J86" s="53">
        <f t="shared" ref="J86" si="42">J83+J85</f>
        <v>0</v>
      </c>
      <c r="K86" s="53">
        <f>K83+K85</f>
        <v>0</v>
      </c>
      <c r="L86" s="53">
        <f>L83+L85</f>
        <v>0</v>
      </c>
      <c r="M86" s="53">
        <f>M83+M85</f>
        <v>0</v>
      </c>
      <c r="N86" s="53">
        <f>N83+N85</f>
        <v>0</v>
      </c>
      <c r="O86" s="53">
        <f>O83+O85</f>
        <v>0</v>
      </c>
      <c r="P86" s="53">
        <f t="shared" si="41"/>
        <v>0</v>
      </c>
      <c r="Q86" s="53">
        <f t="shared" si="41"/>
        <v>0</v>
      </c>
      <c r="R86" s="53">
        <f t="shared" si="41"/>
        <v>0</v>
      </c>
      <c r="S86" s="53">
        <f t="shared" si="41"/>
        <v>0</v>
      </c>
      <c r="T86" s="53">
        <f>T83+T85</f>
        <v>0</v>
      </c>
      <c r="U86" s="53">
        <f>U83+U85</f>
        <v>0</v>
      </c>
      <c r="V86" s="53">
        <f>V83+V85</f>
        <v>0</v>
      </c>
      <c r="W86" s="53">
        <f>W83+W85</f>
        <v>0</v>
      </c>
      <c r="X86" s="53">
        <f t="shared" ref="X86" si="43">X83+X85</f>
        <v>0</v>
      </c>
      <c r="Y86" s="53"/>
      <c r="Z86" s="53">
        <f t="shared" si="41"/>
        <v>235621.99</v>
      </c>
    </row>
    <row r="87" spans="2:26" x14ac:dyDescent="0.3">
      <c r="B87" s="12"/>
      <c r="C87" s="12"/>
    </row>
    <row r="88" spans="2:26" x14ac:dyDescent="0.3">
      <c r="B88" s="12"/>
      <c r="C88" s="12"/>
    </row>
    <row r="89" spans="2:26" x14ac:dyDescent="0.3">
      <c r="B89" s="12"/>
      <c r="C89" s="12"/>
    </row>
    <row r="90" spans="2:26" x14ac:dyDescent="0.3">
      <c r="B90" s="12" t="s">
        <v>82</v>
      </c>
      <c r="C90" s="12"/>
    </row>
    <row r="91" spans="2:26" x14ac:dyDescent="0.3">
      <c r="B91" s="12"/>
      <c r="C91" s="12" t="s">
        <v>83</v>
      </c>
      <c r="D91" s="3">
        <v>0</v>
      </c>
      <c r="Z91" s="3">
        <f>SUM(D91:X91)</f>
        <v>0</v>
      </c>
    </row>
    <row r="92" spans="2:26" x14ac:dyDescent="0.3">
      <c r="B92" s="12"/>
      <c r="C92" s="12" t="s">
        <v>84</v>
      </c>
      <c r="D92" s="3">
        <v>0</v>
      </c>
      <c r="Z92" s="3">
        <f>SUM(D92:X92)</f>
        <v>0</v>
      </c>
    </row>
    <row r="93" spans="2:26" x14ac:dyDescent="0.3">
      <c r="B93" s="12"/>
      <c r="C93" s="12" t="s">
        <v>85</v>
      </c>
      <c r="D93" s="24">
        <f>D91-D92</f>
        <v>0</v>
      </c>
      <c r="E93" s="24">
        <f t="shared" ref="E93:S93" si="44">E91-E92</f>
        <v>0</v>
      </c>
      <c r="F93" s="24">
        <f t="shared" ref="F93" si="45">F91-F92</f>
        <v>0</v>
      </c>
      <c r="G93" s="24">
        <f>G91-G92</f>
        <v>0</v>
      </c>
      <c r="H93" s="24">
        <f>H91-H92</f>
        <v>0</v>
      </c>
      <c r="I93" s="24">
        <f>I91-I92</f>
        <v>0</v>
      </c>
      <c r="J93" s="24">
        <f t="shared" ref="J93" si="46">J91-J92</f>
        <v>0</v>
      </c>
      <c r="K93" s="24">
        <f>K91-K92</f>
        <v>0</v>
      </c>
      <c r="L93" s="24">
        <f>L91-L92</f>
        <v>0</v>
      </c>
      <c r="M93" s="24">
        <f>M91-M92</f>
        <v>0</v>
      </c>
      <c r="N93" s="24">
        <f>N91-N92</f>
        <v>0</v>
      </c>
      <c r="O93" s="24">
        <f>O91-O92</f>
        <v>0</v>
      </c>
      <c r="P93" s="24">
        <f t="shared" si="44"/>
        <v>0</v>
      </c>
      <c r="Q93" s="24">
        <f t="shared" si="44"/>
        <v>0</v>
      </c>
      <c r="R93" s="24">
        <f t="shared" si="44"/>
        <v>0</v>
      </c>
      <c r="S93" s="24">
        <f t="shared" si="44"/>
        <v>0</v>
      </c>
      <c r="T93" s="24">
        <f>T91-T92</f>
        <v>0</v>
      </c>
      <c r="U93" s="24">
        <f>U91-U92</f>
        <v>0</v>
      </c>
      <c r="V93" s="24">
        <f>V91-V92</f>
        <v>0</v>
      </c>
      <c r="W93" s="24">
        <f>W91-W92</f>
        <v>0</v>
      </c>
      <c r="X93" s="24">
        <f t="shared" ref="X93" si="47">X91-X92</f>
        <v>0</v>
      </c>
      <c r="Y93" s="24"/>
      <c r="Z93" s="24">
        <f>SUM(D93:T93)</f>
        <v>0</v>
      </c>
    </row>
    <row r="94" spans="2:26" x14ac:dyDescent="0.3">
      <c r="B94" s="12"/>
      <c r="C94" s="12"/>
      <c r="Z94" s="3">
        <f>SUM(D94:T94)</f>
        <v>0</v>
      </c>
    </row>
    <row r="95" spans="2:26" x14ac:dyDescent="0.3">
      <c r="B95" s="12"/>
      <c r="C95" s="12" t="s">
        <v>81</v>
      </c>
      <c r="D95" s="24">
        <f>D86-D93</f>
        <v>831024.91999999993</v>
      </c>
      <c r="E95" s="24">
        <f t="shared" ref="E95:S95" si="48">E86-E93</f>
        <v>-612854</v>
      </c>
      <c r="F95" s="24">
        <f t="shared" ref="F95" si="49">F86-F93</f>
        <v>0</v>
      </c>
      <c r="G95" s="24">
        <f>G86-G93</f>
        <v>17451.07</v>
      </c>
      <c r="H95" s="24">
        <f>H86-H93</f>
        <v>0</v>
      </c>
      <c r="I95" s="24">
        <f>I86-I93</f>
        <v>0</v>
      </c>
      <c r="J95" s="24">
        <f t="shared" ref="J95" si="50">J86-J93</f>
        <v>0</v>
      </c>
      <c r="K95" s="24">
        <f>K86-K93</f>
        <v>0</v>
      </c>
      <c r="L95" s="24">
        <f>L86-L93</f>
        <v>0</v>
      </c>
      <c r="M95" s="24">
        <f>M86-M93</f>
        <v>0</v>
      </c>
      <c r="N95" s="24">
        <f>N86-N93</f>
        <v>0</v>
      </c>
      <c r="O95" s="24">
        <f>O86-O93</f>
        <v>0</v>
      </c>
      <c r="P95" s="24">
        <f t="shared" si="48"/>
        <v>0</v>
      </c>
      <c r="Q95" s="24">
        <f t="shared" si="48"/>
        <v>0</v>
      </c>
      <c r="R95" s="24">
        <f t="shared" si="48"/>
        <v>0</v>
      </c>
      <c r="S95" s="24">
        <f t="shared" si="48"/>
        <v>0</v>
      </c>
      <c r="T95" s="24">
        <f>T86-T93</f>
        <v>0</v>
      </c>
      <c r="U95" s="24">
        <f>U86-U93</f>
        <v>0</v>
      </c>
      <c r="V95" s="24">
        <f>V86-V93</f>
        <v>0</v>
      </c>
      <c r="W95" s="24">
        <f>W86-W93</f>
        <v>0</v>
      </c>
      <c r="X95" s="24">
        <f t="shared" ref="X95" si="51">X86-X93</f>
        <v>0</v>
      </c>
      <c r="Y95" s="24"/>
      <c r="Z95" s="24">
        <f>Z86-Z93</f>
        <v>235621.99</v>
      </c>
    </row>
    <row r="96" spans="2:26" x14ac:dyDescent="0.3">
      <c r="B96" s="15" t="s">
        <v>86</v>
      </c>
      <c r="C96" s="15"/>
      <c r="D96" s="18">
        <f t="shared" ref="D96:W96" si="52">D40/8</f>
        <v>49543.25208333334</v>
      </c>
      <c r="E96" s="18">
        <f t="shared" si="52"/>
        <v>0</v>
      </c>
      <c r="F96" s="18">
        <f t="shared" ref="F96" si="53">F40/8</f>
        <v>0</v>
      </c>
      <c r="G96" s="18">
        <f>G40/8</f>
        <v>-2181.38375</v>
      </c>
      <c r="H96" s="18">
        <f>H40/8</f>
        <v>0</v>
      </c>
      <c r="I96" s="21">
        <f>I40/8</f>
        <v>6.5150000000001</v>
      </c>
      <c r="J96" s="21">
        <f t="shared" ref="J96" si="54">J40/8</f>
        <v>986.09500000000025</v>
      </c>
      <c r="K96" s="21">
        <f>K40/8</f>
        <v>165.97375</v>
      </c>
      <c r="L96" s="18">
        <f>L40/8</f>
        <v>-4320.4050000000007</v>
      </c>
      <c r="M96" s="18">
        <f>M40/8</f>
        <v>-2370.75</v>
      </c>
      <c r="N96" s="18">
        <f>N40/8</f>
        <v>-8541.93</v>
      </c>
      <c r="O96" s="18">
        <f>O40/8</f>
        <v>3053.75</v>
      </c>
      <c r="P96" s="18">
        <f t="shared" si="52"/>
        <v>-109.375</v>
      </c>
      <c r="Q96" s="18">
        <f t="shared" si="52"/>
        <v>-131.1275</v>
      </c>
      <c r="R96" s="18">
        <f t="shared" si="52"/>
        <v>-725</v>
      </c>
      <c r="S96" s="18">
        <f t="shared" si="52"/>
        <v>0</v>
      </c>
      <c r="T96" s="18">
        <f t="shared" si="52"/>
        <v>-3779.125</v>
      </c>
      <c r="U96" s="21">
        <f>U40/8</f>
        <v>-1832.8650000000002</v>
      </c>
      <c r="V96" s="21">
        <f>V40/8</f>
        <v>-1701.75</v>
      </c>
      <c r="W96" s="21">
        <f t="shared" si="52"/>
        <v>567.64583333333337</v>
      </c>
      <c r="X96" s="21">
        <f t="shared" ref="X96" si="55">X40/8</f>
        <v>263.85416666666663</v>
      </c>
      <c r="Y96" s="21"/>
      <c r="Z96" s="57">
        <f>SUM(D96:X96)</f>
        <v>28893.374583333334</v>
      </c>
    </row>
    <row r="97" spans="2:26" x14ac:dyDescent="0.3">
      <c r="B97" s="15" t="s">
        <v>87</v>
      </c>
      <c r="C97" s="15"/>
      <c r="D97" s="18">
        <v>0</v>
      </c>
      <c r="E97" s="18"/>
      <c r="F97" s="18"/>
      <c r="G97" s="18"/>
      <c r="H97" s="18"/>
      <c r="I97" s="21"/>
      <c r="J97" s="21"/>
      <c r="K97" s="21"/>
      <c r="L97" s="18"/>
      <c r="M97" s="18"/>
      <c r="N97" s="18"/>
      <c r="O97" s="18"/>
      <c r="P97" s="18"/>
      <c r="Q97" s="18"/>
      <c r="R97" s="18"/>
      <c r="S97" s="18"/>
      <c r="T97" s="18"/>
      <c r="U97" s="21"/>
      <c r="V97" s="21"/>
      <c r="W97" s="21"/>
      <c r="X97" s="21"/>
      <c r="Y97" s="18"/>
      <c r="Z97" s="57">
        <f>SUM(D97:X97)</f>
        <v>0</v>
      </c>
    </row>
    <row r="98" spans="2:26" x14ac:dyDescent="0.3">
      <c r="B98" s="15" t="s">
        <v>88</v>
      </c>
      <c r="C98" s="15"/>
      <c r="D98" s="18">
        <v>0</v>
      </c>
      <c r="Z98" s="57">
        <f>SUM(D98:X98)</f>
        <v>0</v>
      </c>
    </row>
    <row r="99" spans="2:26" x14ac:dyDescent="0.3">
      <c r="B99" s="15" t="s">
        <v>89</v>
      </c>
      <c r="C99" s="15"/>
      <c r="D99" s="24">
        <f>SUM(D95:D98)</f>
        <v>880568.17208333325</v>
      </c>
      <c r="E99" s="24">
        <f t="shared" ref="E99:S99" si="56">SUM(E95:E98)</f>
        <v>-612854</v>
      </c>
      <c r="F99" s="24">
        <f t="shared" ref="F99" si="57">SUM(F95:F98)</f>
        <v>0</v>
      </c>
      <c r="G99" s="24">
        <f>SUM(G95:G98)</f>
        <v>15269.686249999999</v>
      </c>
      <c r="H99" s="24">
        <f>SUM(H95:H98)</f>
        <v>0</v>
      </c>
      <c r="I99" s="24">
        <f>SUM(I95:I98)</f>
        <v>6.5150000000001</v>
      </c>
      <c r="J99" s="24">
        <f t="shared" ref="J99" si="58">SUM(J95:J98)</f>
        <v>986.09500000000025</v>
      </c>
      <c r="K99" s="24">
        <f>SUM(K95:K98)</f>
        <v>165.97375</v>
      </c>
      <c r="L99" s="24">
        <f>SUM(L95:L98)</f>
        <v>-4320.4050000000007</v>
      </c>
      <c r="M99" s="24">
        <f>SUM(M95:M98)</f>
        <v>-2370.75</v>
      </c>
      <c r="N99" s="24">
        <f>SUM(N95:N98)</f>
        <v>-8541.93</v>
      </c>
      <c r="O99" s="24">
        <f>SUM(O95:O98)</f>
        <v>3053.75</v>
      </c>
      <c r="P99" s="24">
        <f t="shared" si="56"/>
        <v>-109.375</v>
      </c>
      <c r="Q99" s="24">
        <f t="shared" si="56"/>
        <v>-131.1275</v>
      </c>
      <c r="R99" s="24">
        <f t="shared" si="56"/>
        <v>-725</v>
      </c>
      <c r="S99" s="24">
        <f t="shared" si="56"/>
        <v>0</v>
      </c>
      <c r="T99" s="24">
        <f>SUM(T95:T98)</f>
        <v>-3779.125</v>
      </c>
      <c r="U99" s="24">
        <f>SUM(U95:U98)</f>
        <v>-1832.8650000000002</v>
      </c>
      <c r="V99" s="24">
        <f>SUM(V95:V98)</f>
        <v>-1701.75</v>
      </c>
      <c r="W99" s="24">
        <f>SUM(W95:W98)</f>
        <v>567.64583333333337</v>
      </c>
      <c r="X99" s="24">
        <f t="shared" ref="X99" si="59">SUM(X95:X98)</f>
        <v>263.85416666666663</v>
      </c>
      <c r="Y99" s="24"/>
      <c r="Z99" s="24">
        <f>SUM(Z95:Z98)</f>
        <v>264515.36458333331</v>
      </c>
    </row>
  </sheetData>
  <pageMargins left="0.7" right="0.7" top="0.75" bottom="0.75" header="0.3" footer="0.3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2CE63-12A5-4D92-B94C-D614312ED22B}">
  <dimension ref="A1:K46"/>
  <sheetViews>
    <sheetView topLeftCell="A25" workbookViewId="0">
      <selection activeCell="J60" sqref="J60"/>
    </sheetView>
  </sheetViews>
  <sheetFormatPr defaultRowHeight="14.4" x14ac:dyDescent="0.3"/>
  <cols>
    <col min="2" max="2" width="19.44140625" customWidth="1"/>
    <col min="5" max="5" width="12.88671875" bestFit="1" customWidth="1"/>
    <col min="7" max="7" width="13.33203125" bestFit="1" customWidth="1"/>
    <col min="9" max="9" width="13.33203125" bestFit="1" customWidth="1"/>
    <col min="11" max="11" width="11.6640625" bestFit="1" customWidth="1"/>
  </cols>
  <sheetData>
    <row r="1" spans="1:11" x14ac:dyDescent="0.3">
      <c r="A1" s="144" t="s">
        <v>90</v>
      </c>
      <c r="B1" s="144"/>
      <c r="C1" s="144"/>
      <c r="D1" s="144"/>
      <c r="E1" s="144"/>
      <c r="F1" s="144"/>
    </row>
    <row r="2" spans="1:11" x14ac:dyDescent="0.3">
      <c r="A2" s="16"/>
      <c r="E2" s="3" t="s">
        <v>91</v>
      </c>
      <c r="F2" s="3"/>
      <c r="G2" s="3" t="s">
        <v>92</v>
      </c>
      <c r="I2" s="3" t="s">
        <v>255</v>
      </c>
    </row>
    <row r="3" spans="1:11" x14ac:dyDescent="0.3">
      <c r="A3" s="16">
        <v>1</v>
      </c>
      <c r="B3" t="s">
        <v>93</v>
      </c>
      <c r="E3" s="21">
        <f>'2- Summary'!D99</f>
        <v>880568.17208333325</v>
      </c>
      <c r="F3" s="3"/>
      <c r="G3" s="3">
        <v>264251.51041666663</v>
      </c>
      <c r="I3" s="3">
        <f>'2- Summary'!Z99</f>
        <v>264515.36458333331</v>
      </c>
      <c r="K3" s="17"/>
    </row>
    <row r="4" spans="1:11" x14ac:dyDescent="0.3">
      <c r="A4" s="16">
        <v>2</v>
      </c>
      <c r="B4" t="s">
        <v>94</v>
      </c>
      <c r="E4" s="61">
        <f>'Capital Structure'!G13</f>
        <v>9.7676763310330483E-2</v>
      </c>
      <c r="F4" s="3"/>
      <c r="G4" s="43">
        <v>8.2141410648264399E-2</v>
      </c>
      <c r="I4" s="43">
        <f>'Capital Structure'!M13</f>
        <v>8.2141410648264399E-2</v>
      </c>
    </row>
    <row r="5" spans="1:11" x14ac:dyDescent="0.3">
      <c r="A5" s="16">
        <v>3</v>
      </c>
      <c r="B5" t="s">
        <v>95</v>
      </c>
      <c r="E5" s="21">
        <f>+E3*E4</f>
        <v>86011.048923194103</v>
      </c>
      <c r="F5" s="3"/>
      <c r="G5" s="53">
        <v>21705.991831559531</v>
      </c>
      <c r="I5" s="53">
        <f>+I3*I4</f>
        <v>21727.665185014954</v>
      </c>
      <c r="K5" s="17"/>
    </row>
    <row r="6" spans="1:11" x14ac:dyDescent="0.3">
      <c r="A6" s="16">
        <v>4</v>
      </c>
      <c r="B6" t="s">
        <v>96</v>
      </c>
      <c r="E6" s="23">
        <f>'2- Summary'!D56</f>
        <v>-326281.17667000002</v>
      </c>
      <c r="F6" s="3"/>
      <c r="G6" s="3">
        <v>-11404.77583</v>
      </c>
      <c r="I6" s="3">
        <f>'2- Summary'!Z56</f>
        <v>-13515.60917</v>
      </c>
      <c r="K6" s="3"/>
    </row>
    <row r="7" spans="1:11" x14ac:dyDescent="0.3">
      <c r="A7" s="16">
        <v>5</v>
      </c>
      <c r="B7" t="s">
        <v>97</v>
      </c>
      <c r="E7" s="21">
        <f>+E5-E6</f>
        <v>412292.22559319413</v>
      </c>
      <c r="F7" s="3"/>
      <c r="G7" s="53">
        <v>33110.767661559534</v>
      </c>
      <c r="I7" s="53">
        <f>+I5-I6</f>
        <v>35243.274355014953</v>
      </c>
      <c r="K7" s="17"/>
    </row>
    <row r="8" spans="1:11" x14ac:dyDescent="0.3">
      <c r="A8" s="16"/>
      <c r="D8" s="26"/>
      <c r="E8" s="3"/>
      <c r="F8" s="3"/>
      <c r="G8" s="3"/>
      <c r="I8" s="3"/>
    </row>
    <row r="9" spans="1:11" x14ac:dyDescent="0.3">
      <c r="A9" s="16"/>
      <c r="D9" s="26"/>
      <c r="E9" s="3"/>
      <c r="F9" s="3"/>
      <c r="G9" s="3"/>
      <c r="I9" s="3"/>
    </row>
    <row r="10" spans="1:11" x14ac:dyDescent="0.3">
      <c r="A10" s="16">
        <v>6</v>
      </c>
      <c r="B10" t="s">
        <v>97</v>
      </c>
      <c r="D10" s="26"/>
      <c r="E10" s="3">
        <f>+E7</f>
        <v>412292.22559319413</v>
      </c>
      <c r="F10" s="3"/>
      <c r="G10" s="3"/>
      <c r="I10" s="3"/>
    </row>
    <row r="11" spans="1:11" x14ac:dyDescent="0.3">
      <c r="A11" s="16">
        <v>7</v>
      </c>
      <c r="B11" t="s">
        <v>98</v>
      </c>
      <c r="D11" s="26"/>
      <c r="E11" s="3"/>
      <c r="F11" s="3"/>
      <c r="G11" s="3">
        <v>11404.77583</v>
      </c>
      <c r="I11" s="3">
        <f>-I6</f>
        <v>13515.60917</v>
      </c>
    </row>
    <row r="12" spans="1:11" x14ac:dyDescent="0.3">
      <c r="A12" s="16">
        <v>8</v>
      </c>
      <c r="B12" t="s">
        <v>99</v>
      </c>
      <c r="D12" s="26"/>
      <c r="E12" s="3"/>
      <c r="F12" s="3"/>
      <c r="G12" s="66">
        <v>1.0021315337723338</v>
      </c>
      <c r="I12" s="66">
        <f>1/I34</f>
        <v>1.0021315337723338</v>
      </c>
    </row>
    <row r="13" spans="1:11" x14ac:dyDescent="0.3">
      <c r="A13" s="16">
        <v>9</v>
      </c>
      <c r="B13" t="s">
        <v>100</v>
      </c>
      <c r="D13" s="27"/>
      <c r="E13" s="54"/>
      <c r="F13" s="54"/>
      <c r="G13" s="23">
        <v>11429.085494847541</v>
      </c>
      <c r="I13" s="23">
        <f>I11*I12</f>
        <v>13544.41814739952</v>
      </c>
    </row>
    <row r="14" spans="1:11" x14ac:dyDescent="0.3">
      <c r="A14" s="16">
        <v>10</v>
      </c>
      <c r="D14" s="5"/>
      <c r="F14" s="3"/>
      <c r="G14" s="3">
        <f>G13</f>
        <v>11429.085494847541</v>
      </c>
      <c r="I14" s="3">
        <f>+I13</f>
        <v>13544.41814739952</v>
      </c>
    </row>
    <row r="15" spans="1:11" x14ac:dyDescent="0.3">
      <c r="A15" s="16"/>
      <c r="D15" s="5"/>
      <c r="F15" s="3"/>
      <c r="G15" s="3"/>
      <c r="I15" s="3"/>
      <c r="K15" s="17"/>
    </row>
    <row r="16" spans="1:11" x14ac:dyDescent="0.3">
      <c r="A16" s="16">
        <v>11</v>
      </c>
      <c r="B16" t="s">
        <v>101</v>
      </c>
      <c r="D16" s="5"/>
      <c r="E16" s="3"/>
      <c r="F16" s="3"/>
      <c r="G16" s="3">
        <v>21705.991831559531</v>
      </c>
      <c r="I16" s="3">
        <f>I5</f>
        <v>21727.665185014954</v>
      </c>
      <c r="K16" s="17"/>
    </row>
    <row r="17" spans="1:11" x14ac:dyDescent="0.3">
      <c r="A17" s="16">
        <v>12</v>
      </c>
      <c r="B17" t="s">
        <v>102</v>
      </c>
      <c r="D17" s="5"/>
      <c r="E17" s="56">
        <f>+E43</f>
        <v>1.3465941979942158</v>
      </c>
      <c r="F17" s="3"/>
      <c r="G17" s="56">
        <v>1.3466251898362409</v>
      </c>
      <c r="I17" s="56">
        <f>+I43</f>
        <v>1.3466251898362409</v>
      </c>
    </row>
    <row r="18" spans="1:11" x14ac:dyDescent="0.3">
      <c r="A18" s="16">
        <v>13</v>
      </c>
      <c r="B18" t="s">
        <v>103</v>
      </c>
      <c r="F18" s="18"/>
      <c r="G18" s="18">
        <v>29229.835370757748</v>
      </c>
      <c r="I18" s="18">
        <f>+I16*I17</f>
        <v>29259.021254469044</v>
      </c>
    </row>
    <row r="19" spans="1:11" x14ac:dyDescent="0.3">
      <c r="A19" s="16">
        <v>14</v>
      </c>
      <c r="B19" t="s">
        <v>104</v>
      </c>
      <c r="E19" s="18">
        <f>+E10*E17</f>
        <v>555190.31886191748</v>
      </c>
      <c r="F19" s="22"/>
      <c r="G19" s="105">
        <f>G18+G14</f>
        <v>40658.920865605287</v>
      </c>
      <c r="I19" s="105">
        <f>I18+I14</f>
        <v>42803.439401868563</v>
      </c>
      <c r="K19" s="17"/>
    </row>
    <row r="20" spans="1:11" x14ac:dyDescent="0.3">
      <c r="A20" s="16"/>
      <c r="E20" s="105"/>
      <c r="F20" s="105"/>
      <c r="G20" s="105"/>
      <c r="I20" s="105"/>
    </row>
    <row r="21" spans="1:11" x14ac:dyDescent="0.3">
      <c r="A21" s="16">
        <v>15</v>
      </c>
      <c r="B21" t="s">
        <v>105</v>
      </c>
      <c r="E21" s="105">
        <f>'2- Summary'!D15</f>
        <v>204997</v>
      </c>
      <c r="F21" s="105"/>
      <c r="G21" s="105">
        <v>230454.3</v>
      </c>
      <c r="I21" s="105">
        <f>'2- Summary'!Z15</f>
        <v>230454.3</v>
      </c>
    </row>
    <row r="22" spans="1:11" x14ac:dyDescent="0.3">
      <c r="A22" s="16">
        <v>16</v>
      </c>
      <c r="B22" t="s">
        <v>106</v>
      </c>
      <c r="E22" s="3">
        <f>+E19+E21</f>
        <v>760187.31886191748</v>
      </c>
      <c r="F22" s="3"/>
      <c r="G22" s="3">
        <f>+G19+G21</f>
        <v>271113.22086560528</v>
      </c>
      <c r="I22" s="3">
        <f>+I19+I21</f>
        <v>273257.73940186854</v>
      </c>
    </row>
    <row r="23" spans="1:11" x14ac:dyDescent="0.3">
      <c r="A23" s="16"/>
      <c r="E23" s="28"/>
      <c r="G23" s="28"/>
      <c r="I23" s="28"/>
    </row>
    <row r="24" spans="1:11" x14ac:dyDescent="0.3">
      <c r="A24" s="16">
        <v>17</v>
      </c>
      <c r="B24" t="s">
        <v>107</v>
      </c>
      <c r="E24" s="29">
        <f>+(E22/E21)-1</f>
        <v>2.7082850913033725</v>
      </c>
      <c r="F24" s="30"/>
      <c r="G24" s="29">
        <f>+(G22/G21)-1</f>
        <v>0.17642943032785796</v>
      </c>
      <c r="I24" s="29">
        <f>+(I22/I21)-1</f>
        <v>0.18573504335509705</v>
      </c>
    </row>
    <row r="25" spans="1:11" x14ac:dyDescent="0.3">
      <c r="A25" s="16"/>
    </row>
    <row r="26" spans="1:11" x14ac:dyDescent="0.3">
      <c r="A26" s="16"/>
      <c r="E26" s="31"/>
    </row>
    <row r="27" spans="1:11" x14ac:dyDescent="0.3">
      <c r="A27" s="16"/>
      <c r="B27" s="32"/>
      <c r="C27" s="32"/>
      <c r="D27" s="32"/>
      <c r="E27" s="32"/>
      <c r="F27" s="33"/>
    </row>
    <row r="28" spans="1:11" x14ac:dyDescent="0.3">
      <c r="A28" s="16"/>
      <c r="B28" s="32" t="s">
        <v>108</v>
      </c>
      <c r="C28" s="32"/>
      <c r="D28" s="32"/>
      <c r="E28" s="32"/>
      <c r="F28" s="33"/>
    </row>
    <row r="29" spans="1:11" x14ac:dyDescent="0.3">
      <c r="A29" s="16"/>
      <c r="F29" s="34"/>
    </row>
    <row r="30" spans="1:11" x14ac:dyDescent="0.3">
      <c r="A30" s="16"/>
      <c r="F30" s="35"/>
    </row>
    <row r="31" spans="1:11" x14ac:dyDescent="0.3">
      <c r="A31" s="16">
        <v>18</v>
      </c>
      <c r="B31" t="s">
        <v>109</v>
      </c>
      <c r="E31" s="36">
        <v>1</v>
      </c>
      <c r="G31" s="36">
        <v>1</v>
      </c>
      <c r="I31" s="36">
        <v>1</v>
      </c>
    </row>
    <row r="32" spans="1:11" x14ac:dyDescent="0.3">
      <c r="A32" s="16">
        <v>19</v>
      </c>
      <c r="B32" t="s">
        <v>110</v>
      </c>
      <c r="E32" s="37">
        <v>1.9819999999999998E-3</v>
      </c>
      <c r="G32" s="37">
        <v>2.127E-3</v>
      </c>
      <c r="I32" s="37">
        <v>2.127E-3</v>
      </c>
    </row>
    <row r="33" spans="1:9" x14ac:dyDescent="0.3">
      <c r="A33" s="16"/>
      <c r="E33" s="36"/>
      <c r="G33" s="36"/>
      <c r="I33" s="36"/>
    </row>
    <row r="34" spans="1:9" x14ac:dyDescent="0.3">
      <c r="A34" s="16">
        <v>20</v>
      </c>
      <c r="B34" t="s">
        <v>111</v>
      </c>
      <c r="E34" s="38">
        <f>+E31-E32</f>
        <v>0.99801799999999996</v>
      </c>
      <c r="G34" s="38">
        <v>0.99787300000000001</v>
      </c>
      <c r="I34" s="38">
        <f>+I31-I32</f>
        <v>0.99787300000000001</v>
      </c>
    </row>
    <row r="35" spans="1:9" x14ac:dyDescent="0.3">
      <c r="A35" s="16">
        <v>21</v>
      </c>
      <c r="B35" t="s">
        <v>112</v>
      </c>
      <c r="D35" s="39">
        <v>5.8000000000000003E-2</v>
      </c>
      <c r="E35" s="40">
        <f>D35</f>
        <v>5.8000000000000003E-2</v>
      </c>
      <c r="F35" s="83"/>
      <c r="G35" s="40">
        <v>5.7876634000000003E-2</v>
      </c>
      <c r="I35" s="40">
        <f>+I34*D35</f>
        <v>5.7876634000000003E-2</v>
      </c>
    </row>
    <row r="36" spans="1:9" x14ac:dyDescent="0.3">
      <c r="A36" s="16"/>
      <c r="D36" s="41"/>
      <c r="E36" s="36"/>
      <c r="G36" s="36"/>
      <c r="I36" s="36"/>
    </row>
    <row r="37" spans="1:9" x14ac:dyDescent="0.3">
      <c r="A37" s="16">
        <v>22</v>
      </c>
      <c r="B37" t="s">
        <v>113</v>
      </c>
      <c r="D37" s="41"/>
      <c r="E37" s="36">
        <f>+E34-E35</f>
        <v>0.94001799999999991</v>
      </c>
      <c r="G37" s="36">
        <v>0.93999636600000003</v>
      </c>
      <c r="I37" s="36">
        <f>+I34-I35</f>
        <v>0.93999636600000003</v>
      </c>
    </row>
    <row r="38" spans="1:9" x14ac:dyDescent="0.3">
      <c r="A38" s="16"/>
      <c r="D38" s="41"/>
      <c r="E38" s="36"/>
      <c r="G38" s="36"/>
      <c r="I38" s="36"/>
    </row>
    <row r="39" spans="1:9" x14ac:dyDescent="0.3">
      <c r="A39" s="16">
        <v>23</v>
      </c>
      <c r="B39" t="s">
        <v>114</v>
      </c>
      <c r="D39" s="39">
        <v>0.21</v>
      </c>
      <c r="E39" s="36">
        <f>+E37*D39</f>
        <v>0.19740377999999997</v>
      </c>
      <c r="G39" s="36">
        <v>0.19739923685999999</v>
      </c>
      <c r="I39" s="36">
        <f>+I37*D39</f>
        <v>0.19739923685999999</v>
      </c>
    </row>
    <row r="40" spans="1:9" x14ac:dyDescent="0.3">
      <c r="A40" s="16"/>
      <c r="E40" s="36"/>
      <c r="G40" s="36"/>
      <c r="I40" s="36"/>
    </row>
    <row r="41" spans="1:9" x14ac:dyDescent="0.3">
      <c r="A41" s="16">
        <v>24</v>
      </c>
      <c r="B41" t="s">
        <v>115</v>
      </c>
      <c r="E41" s="36">
        <f>+E37-E39</f>
        <v>0.74261421999999988</v>
      </c>
      <c r="G41" s="36">
        <v>0.74259712913999998</v>
      </c>
      <c r="I41" s="36">
        <f>+I37-I39</f>
        <v>0.74259712913999998</v>
      </c>
    </row>
    <row r="42" spans="1:9" x14ac:dyDescent="0.3">
      <c r="A42" s="16"/>
      <c r="E42" s="36"/>
      <c r="G42" s="36"/>
      <c r="I42" s="36"/>
    </row>
    <row r="43" spans="1:9" x14ac:dyDescent="0.3">
      <c r="A43" s="16">
        <v>25</v>
      </c>
      <c r="B43" t="s">
        <v>116</v>
      </c>
      <c r="E43" s="42">
        <f>1/E41</f>
        <v>1.3465941979942158</v>
      </c>
      <c r="G43" s="42">
        <v>1.3466251898362409</v>
      </c>
      <c r="I43" s="42">
        <f>1/I41</f>
        <v>1.3466251898362409</v>
      </c>
    </row>
    <row r="44" spans="1:9" x14ac:dyDescent="0.3">
      <c r="A44" s="16"/>
    </row>
    <row r="45" spans="1:9" x14ac:dyDescent="0.3">
      <c r="A45" s="16"/>
    </row>
    <row r="46" spans="1:9" x14ac:dyDescent="0.3">
      <c r="A46" s="16"/>
    </row>
  </sheetData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24FF6-D51D-46E5-9FD9-E52E6BD3D80D}">
  <dimension ref="A1:G29"/>
  <sheetViews>
    <sheetView workbookViewId="0">
      <selection activeCell="I24" sqref="I24"/>
    </sheetView>
  </sheetViews>
  <sheetFormatPr defaultRowHeight="14.4" x14ac:dyDescent="0.3"/>
  <cols>
    <col min="1" max="1" width="18.109375" customWidth="1"/>
    <col min="2" max="2" width="15.109375" customWidth="1"/>
    <col min="3" max="3" width="14" customWidth="1"/>
    <col min="4" max="4" width="12.88671875" customWidth="1"/>
    <col min="5" max="5" width="11.6640625" customWidth="1"/>
    <col min="6" max="6" width="10.44140625" customWidth="1"/>
    <col min="7" max="7" width="13.44140625" customWidth="1"/>
  </cols>
  <sheetData>
    <row r="1" spans="1:7" ht="15" thickBot="1" x14ac:dyDescent="0.35">
      <c r="B1" s="145" t="s">
        <v>261</v>
      </c>
      <c r="C1" s="146"/>
      <c r="D1" s="145" t="s">
        <v>262</v>
      </c>
      <c r="E1" s="146"/>
      <c r="F1" s="145" t="s">
        <v>255</v>
      </c>
      <c r="G1" s="146"/>
    </row>
    <row r="2" spans="1:7" ht="28.8" x14ac:dyDescent="0.3">
      <c r="A2" s="106" t="s">
        <v>263</v>
      </c>
      <c r="B2" s="107" t="s">
        <v>264</v>
      </c>
      <c r="C2" s="108" t="s">
        <v>265</v>
      </c>
      <c r="D2" s="107" t="s">
        <v>264</v>
      </c>
      <c r="E2" s="108" t="s">
        <v>265</v>
      </c>
      <c r="F2" s="107" t="s">
        <v>264</v>
      </c>
      <c r="G2" s="108" t="s">
        <v>265</v>
      </c>
    </row>
    <row r="3" spans="1:7" x14ac:dyDescent="0.3">
      <c r="A3" s="109">
        <v>0.75</v>
      </c>
      <c r="B3" s="110">
        <f>'[1]Comm '!L23</f>
        <v>87</v>
      </c>
      <c r="C3" s="111">
        <f>'[1]Comm '!M23</f>
        <v>2.94</v>
      </c>
      <c r="D3" s="110">
        <v>27.695999999999998</v>
      </c>
      <c r="E3" s="111">
        <v>0.91166000000000003</v>
      </c>
      <c r="F3" s="112">
        <f>'[1]Comm '!O23</f>
        <v>27.911999999999999</v>
      </c>
      <c r="G3" s="113">
        <f>'[1]Comm '!P23</f>
        <v>0.91877000000000009</v>
      </c>
    </row>
    <row r="4" spans="1:7" x14ac:dyDescent="0.3">
      <c r="A4" s="109">
        <v>1</v>
      </c>
      <c r="B4" s="110">
        <f>'[1]Comm '!L24</f>
        <v>154</v>
      </c>
      <c r="C4" s="111">
        <f>'[1]Comm '!M24</f>
        <v>2.94</v>
      </c>
      <c r="D4" s="110">
        <v>27.695999999999998</v>
      </c>
      <c r="E4" s="111">
        <v>0.91166000000000003</v>
      </c>
      <c r="F4" s="112">
        <f>'[1]Comm '!O24</f>
        <v>27.911999999999999</v>
      </c>
      <c r="G4" s="113">
        <f>'[1]Comm '!P24</f>
        <v>0.91877000000000009</v>
      </c>
    </row>
    <row r="5" spans="1:7" x14ac:dyDescent="0.3">
      <c r="A5" s="109">
        <v>1.5</v>
      </c>
      <c r="B5" s="110">
        <f>'[1]Comm '!L25</f>
        <v>347</v>
      </c>
      <c r="C5" s="111">
        <f>'[1]Comm '!M25</f>
        <v>2.94</v>
      </c>
      <c r="D5" s="110">
        <v>110.78399999999999</v>
      </c>
      <c r="E5" s="111">
        <v>0.91166000000000003</v>
      </c>
      <c r="F5" s="112">
        <f>'[1]Comm '!O25</f>
        <v>111.648</v>
      </c>
      <c r="G5" s="113">
        <f>'[1]Comm '!P25</f>
        <v>0.91877000000000009</v>
      </c>
    </row>
    <row r="6" spans="1:7" x14ac:dyDescent="0.3">
      <c r="A6" s="109">
        <v>2</v>
      </c>
      <c r="B6" s="110">
        <f>'[1]Comm '!L26</f>
        <v>616</v>
      </c>
      <c r="C6" s="111">
        <f>'[1]Comm '!M26</f>
        <v>2.94</v>
      </c>
      <c r="D6" s="110">
        <v>196.95317999999997</v>
      </c>
      <c r="E6" s="111">
        <v>0.91166000000000003</v>
      </c>
      <c r="F6" s="112">
        <f>'[1]Comm '!O26</f>
        <v>198.48920999999999</v>
      </c>
      <c r="G6" s="113">
        <f>'[1]Comm '!P26</f>
        <v>0.91877000000000009</v>
      </c>
    </row>
    <row r="7" spans="1:7" x14ac:dyDescent="0.3">
      <c r="A7" s="109">
        <v>2.5</v>
      </c>
      <c r="B7" s="110">
        <f>'[1]Comm '!L27</f>
        <v>963</v>
      </c>
      <c r="C7" s="111">
        <f>'[1]Comm '!M27</f>
        <v>2.94</v>
      </c>
      <c r="D7" s="110">
        <v>307.73718000000002</v>
      </c>
      <c r="E7" s="111">
        <v>0.91166000000000003</v>
      </c>
      <c r="F7" s="112">
        <f>'[1]Comm '!O27</f>
        <v>310.13721000000004</v>
      </c>
      <c r="G7" s="113">
        <f>'[1]Comm '!P27</f>
        <v>0.91877000000000009</v>
      </c>
    </row>
    <row r="8" spans="1:7" x14ac:dyDescent="0.3">
      <c r="A8" s="109">
        <v>3</v>
      </c>
      <c r="B8" s="110">
        <f>'[1]Comm '!L28</f>
        <v>1386</v>
      </c>
      <c r="C8" s="111">
        <f>'[1]Comm '!M28</f>
        <v>2.94</v>
      </c>
      <c r="D8" s="110">
        <v>443.13599999999997</v>
      </c>
      <c r="E8" s="111">
        <v>0.91166000000000003</v>
      </c>
      <c r="F8" s="112">
        <f>'[1]Comm '!O28</f>
        <v>446.59199999999998</v>
      </c>
      <c r="G8" s="113">
        <f>'[1]Comm '!P28</f>
        <v>0.91877000000000009</v>
      </c>
    </row>
    <row r="9" spans="1:7" x14ac:dyDescent="0.3">
      <c r="A9" s="109">
        <v>4</v>
      </c>
      <c r="B9" s="110">
        <f>'[1]Comm '!L29</f>
        <v>2464</v>
      </c>
      <c r="C9" s="111">
        <f>'[1]Comm '!M29</f>
        <v>2.94</v>
      </c>
      <c r="D9" s="110">
        <v>787.80117999999993</v>
      </c>
      <c r="E9" s="111">
        <v>0.91166000000000003</v>
      </c>
      <c r="F9" s="112">
        <f>'[1]Comm '!O29</f>
        <v>793.94520999999997</v>
      </c>
      <c r="G9" s="113">
        <f>'[1]Comm '!P29</f>
        <v>0.91877000000000009</v>
      </c>
    </row>
    <row r="10" spans="1:7" ht="15" thickBot="1" x14ac:dyDescent="0.35">
      <c r="A10" s="114">
        <v>6</v>
      </c>
      <c r="B10" s="115">
        <f>'[1]Comm '!L30</f>
        <v>5546</v>
      </c>
      <c r="C10" s="116">
        <f>'[1]Comm '!M30</f>
        <v>2.94</v>
      </c>
      <c r="D10" s="115">
        <v>1772.5439999999999</v>
      </c>
      <c r="E10" s="116">
        <v>0.91166000000000003</v>
      </c>
      <c r="F10" s="117">
        <f>'[1]Comm '!O30</f>
        <v>1786.3679999999999</v>
      </c>
      <c r="G10" s="118">
        <f>'[1]Comm '!P30</f>
        <v>0.91877000000000009</v>
      </c>
    </row>
    <row r="13" spans="1:7" ht="21.6" thickBot="1" x14ac:dyDescent="0.45">
      <c r="A13" s="147" t="s">
        <v>266</v>
      </c>
      <c r="B13" s="147"/>
      <c r="C13" s="147"/>
      <c r="D13" s="147"/>
    </row>
    <row r="14" spans="1:7" ht="58.2" thickBot="1" x14ac:dyDescent="0.35">
      <c r="A14" s="119" t="s">
        <v>267</v>
      </c>
      <c r="B14" s="120" t="s">
        <v>268</v>
      </c>
      <c r="C14" s="121" t="s">
        <v>269</v>
      </c>
      <c r="D14" s="122" t="s">
        <v>270</v>
      </c>
    </row>
    <row r="15" spans="1:7" x14ac:dyDescent="0.3">
      <c r="A15" s="123"/>
      <c r="B15" s="124"/>
      <c r="C15" s="125"/>
      <c r="D15" s="126"/>
    </row>
    <row r="16" spans="1:7" x14ac:dyDescent="0.3">
      <c r="A16" s="127">
        <v>0.75</v>
      </c>
      <c r="B16" s="128">
        <f>'[1]Comm '!M6</f>
        <v>117230.39999999999</v>
      </c>
      <c r="C16" s="129">
        <f>'[1]Comm '!O6</f>
        <v>37892.831110000006</v>
      </c>
      <c r="D16" s="130">
        <f>'[1]Comm '!P6</f>
        <v>155123.23110999999</v>
      </c>
      <c r="E16" s="131"/>
    </row>
    <row r="17" spans="1:5" x14ac:dyDescent="0.3">
      <c r="A17" s="127">
        <v>1</v>
      </c>
      <c r="B17" s="128">
        <f>'[1]Comm '!M7</f>
        <v>334.94399999999996</v>
      </c>
      <c r="C17" s="129">
        <f>'[1]Comm '!O7</f>
        <v>375.77693000000005</v>
      </c>
      <c r="D17" s="130">
        <f>'[1]Comm '!P7</f>
        <v>710.72092999999995</v>
      </c>
      <c r="E17" s="131"/>
    </row>
    <row r="18" spans="1:5" x14ac:dyDescent="0.3">
      <c r="A18" s="127">
        <v>1.5</v>
      </c>
      <c r="B18" s="128">
        <f>'[1]Comm '!M8</f>
        <v>5359.1039999999994</v>
      </c>
      <c r="C18" s="129">
        <f>'[1]Comm '!O8</f>
        <v>624.76360000000011</v>
      </c>
      <c r="D18" s="130">
        <f>'[1]Comm '!P8</f>
        <v>5983.8675999999996</v>
      </c>
      <c r="E18" s="131"/>
    </row>
    <row r="19" spans="1:5" x14ac:dyDescent="0.3">
      <c r="A19" s="127">
        <v>2</v>
      </c>
      <c r="B19" s="128">
        <f>'[1]Comm '!M9</f>
        <v>28582.446239999997</v>
      </c>
      <c r="C19" s="129">
        <f>'[1]Comm '!O9</f>
        <v>9326.4342700000016</v>
      </c>
      <c r="D19" s="130">
        <f>'[1]Comm '!P9</f>
        <v>37908.880510000003</v>
      </c>
      <c r="E19" s="131"/>
    </row>
    <row r="20" spans="1:5" x14ac:dyDescent="0.3">
      <c r="A20" s="127" t="s">
        <v>271</v>
      </c>
      <c r="B20" s="128">
        <f>'[1]Comm '!M10</f>
        <v>8336.5468199999996</v>
      </c>
      <c r="C20" s="129">
        <f>'[1]Comm '!O10</f>
        <v>3213.8574600000002</v>
      </c>
      <c r="D20" s="130">
        <f>'[1]Comm '!P10</f>
        <v>11550.404279999999</v>
      </c>
      <c r="E20" s="131"/>
    </row>
    <row r="21" spans="1:5" x14ac:dyDescent="0.3">
      <c r="A21" s="127">
        <v>2.5</v>
      </c>
      <c r="B21" s="128">
        <f>'[1]Comm '!M11</f>
        <v>0</v>
      </c>
      <c r="C21" s="129">
        <f>'[1]Comm '!O11</f>
        <v>0</v>
      </c>
      <c r="D21" s="130">
        <f>'[1]Comm '!P11</f>
        <v>0</v>
      </c>
      <c r="E21" s="131"/>
    </row>
    <row r="22" spans="1:5" x14ac:dyDescent="0.3">
      <c r="A22" s="127">
        <v>3</v>
      </c>
      <c r="B22" s="128">
        <f>'[1]Comm '!M12</f>
        <v>0</v>
      </c>
      <c r="C22" s="129">
        <f>'[1]Comm '!O12</f>
        <v>0</v>
      </c>
      <c r="D22" s="130">
        <f>'[1]Comm '!P12</f>
        <v>0</v>
      </c>
      <c r="E22" s="131"/>
    </row>
    <row r="23" spans="1:5" x14ac:dyDescent="0.3">
      <c r="A23" s="127">
        <v>4</v>
      </c>
      <c r="B23" s="128">
        <f>'[1]Comm '!M13</f>
        <v>0</v>
      </c>
      <c r="C23" s="129">
        <f>'[1]Comm '!O13</f>
        <v>0</v>
      </c>
      <c r="D23" s="130">
        <f>'[1]Comm '!P13</f>
        <v>0</v>
      </c>
      <c r="E23" s="131"/>
    </row>
    <row r="24" spans="1:5" x14ac:dyDescent="0.3">
      <c r="A24" s="127">
        <v>6</v>
      </c>
      <c r="B24" s="128">
        <f>'[1]Comm '!M14</f>
        <v>21436.415999999997</v>
      </c>
      <c r="C24" s="129">
        <f>'[1]Comm '!O14</f>
        <v>7696.5362900000009</v>
      </c>
      <c r="D24" s="130">
        <f>'[1]Comm '!P14</f>
        <v>29132.952289999997</v>
      </c>
      <c r="E24" s="131"/>
    </row>
    <row r="25" spans="1:5" x14ac:dyDescent="0.3">
      <c r="A25" s="127" t="s">
        <v>272</v>
      </c>
      <c r="B25" s="128">
        <f>'[1]Comm '!M15</f>
        <v>781.53599999999994</v>
      </c>
      <c r="C25" s="129">
        <f>'[1]Comm '!O15</f>
        <v>32073.221571130001</v>
      </c>
      <c r="D25" s="130">
        <f>'[1]Comm '!P15</f>
        <v>32854.757571130001</v>
      </c>
      <c r="E25" s="131"/>
    </row>
    <row r="26" spans="1:5" x14ac:dyDescent="0.3">
      <c r="A26" s="132"/>
      <c r="B26" s="128">
        <f>'[1]Comm '!M16</f>
        <v>0</v>
      </c>
      <c r="C26" s="129">
        <f>'[1]Comm '!O16</f>
        <v>0</v>
      </c>
      <c r="D26" s="130">
        <f>'[1]Comm '!P16</f>
        <v>0</v>
      </c>
      <c r="E26" s="131"/>
    </row>
    <row r="27" spans="1:5" ht="15" thickBot="1" x14ac:dyDescent="0.35">
      <c r="A27" s="133" t="s">
        <v>273</v>
      </c>
      <c r="B27" s="134">
        <f>SUM(B16:B26)</f>
        <v>182061.39305999997</v>
      </c>
      <c r="C27" s="135">
        <f t="shared" ref="C27:D27" si="0">SUM(C16:C26)</f>
        <v>91203.421231130022</v>
      </c>
      <c r="D27" s="118">
        <f t="shared" si="0"/>
        <v>273264.81429112994</v>
      </c>
      <c r="E27" s="136"/>
    </row>
    <row r="28" spans="1:5" ht="15" thickBot="1" x14ac:dyDescent="0.35">
      <c r="C28" s="137" t="s">
        <v>274</v>
      </c>
      <c r="D28" s="138">
        <v>273258</v>
      </c>
    </row>
    <row r="29" spans="1:5" ht="15" thickBot="1" x14ac:dyDescent="0.35">
      <c r="C29" s="137" t="s">
        <v>136</v>
      </c>
      <c r="D29" s="139">
        <f>D27-D28</f>
        <v>6.8142911299364641</v>
      </c>
    </row>
  </sheetData>
  <mergeCells count="4">
    <mergeCell ref="B1:C1"/>
    <mergeCell ref="D1:E1"/>
    <mergeCell ref="F1:G1"/>
    <mergeCell ref="A13:D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9F474-8C9D-4E86-A5DD-9C16C1DA3F73}">
  <dimension ref="A1:M14"/>
  <sheetViews>
    <sheetView workbookViewId="0">
      <selection activeCell="L11" sqref="L11"/>
    </sheetView>
  </sheetViews>
  <sheetFormatPr defaultRowHeight="14.4" x14ac:dyDescent="0.3"/>
  <cols>
    <col min="4" max="4" width="10.109375" bestFit="1" customWidth="1"/>
    <col min="10" max="10" width="10.109375" bestFit="1" customWidth="1"/>
  </cols>
  <sheetData>
    <row r="1" spans="1:13" x14ac:dyDescent="0.3">
      <c r="A1" s="148" t="s">
        <v>117</v>
      </c>
      <c r="B1" s="148"/>
      <c r="C1" s="148"/>
      <c r="D1" s="148"/>
      <c r="E1" s="148"/>
      <c r="F1" s="148"/>
      <c r="G1" s="148"/>
    </row>
    <row r="2" spans="1:13" x14ac:dyDescent="0.3">
      <c r="A2" s="148" t="s">
        <v>118</v>
      </c>
      <c r="B2" s="148"/>
      <c r="C2" s="148"/>
      <c r="D2" s="148"/>
      <c r="E2" s="148"/>
      <c r="F2" s="148"/>
      <c r="G2" s="148"/>
    </row>
    <row r="3" spans="1:13" x14ac:dyDescent="0.3">
      <c r="A3" s="148" t="s">
        <v>119</v>
      </c>
      <c r="B3" s="148"/>
      <c r="C3" s="148"/>
      <c r="D3" s="148"/>
      <c r="E3" s="148"/>
      <c r="F3" s="148"/>
      <c r="G3" s="148"/>
    </row>
    <row r="4" spans="1:13" x14ac:dyDescent="0.3">
      <c r="A4" s="44"/>
      <c r="B4" s="44"/>
      <c r="C4" s="44"/>
      <c r="D4" s="44"/>
      <c r="E4" s="44"/>
      <c r="F4" s="44"/>
      <c r="G4" s="44"/>
    </row>
    <row r="5" spans="1:13" x14ac:dyDescent="0.3">
      <c r="A5" s="44"/>
      <c r="B5" s="44"/>
      <c r="C5" s="44"/>
      <c r="D5" s="44"/>
      <c r="E5" s="44"/>
      <c r="F5" s="44"/>
      <c r="G5" s="44"/>
    </row>
    <row r="6" spans="1:13" x14ac:dyDescent="0.3">
      <c r="D6" s="16" t="s">
        <v>120</v>
      </c>
      <c r="E6" s="16" t="s">
        <v>121</v>
      </c>
      <c r="F6" s="16" t="s">
        <v>122</v>
      </c>
      <c r="G6" s="16" t="s">
        <v>123</v>
      </c>
      <c r="J6" s="16" t="s">
        <v>120</v>
      </c>
      <c r="K6" s="16" t="s">
        <v>121</v>
      </c>
      <c r="L6" s="16" t="s">
        <v>122</v>
      </c>
      <c r="M6" s="16" t="s">
        <v>123</v>
      </c>
    </row>
    <row r="7" spans="1:13" ht="43.2" x14ac:dyDescent="0.3">
      <c r="A7" s="45" t="s">
        <v>124</v>
      </c>
      <c r="B7" s="45" t="s">
        <v>125</v>
      </c>
      <c r="C7" s="45"/>
      <c r="D7" s="45" t="s">
        <v>126</v>
      </c>
      <c r="E7" s="45" t="s">
        <v>127</v>
      </c>
      <c r="F7" s="45" t="s">
        <v>128</v>
      </c>
      <c r="G7" s="45" t="s">
        <v>129</v>
      </c>
      <c r="J7" s="45" t="s">
        <v>126</v>
      </c>
      <c r="K7" s="45" t="s">
        <v>127</v>
      </c>
      <c r="L7" s="45" t="s">
        <v>128</v>
      </c>
      <c r="M7" s="45" t="s">
        <v>129</v>
      </c>
    </row>
    <row r="8" spans="1:13" x14ac:dyDescent="0.3">
      <c r="A8" s="46"/>
      <c r="B8" s="46"/>
      <c r="C8" s="46"/>
      <c r="D8" s="46"/>
      <c r="E8" s="46"/>
      <c r="F8" s="46"/>
      <c r="G8" s="46"/>
      <c r="J8" s="46"/>
      <c r="K8" s="46"/>
      <c r="L8" s="46"/>
      <c r="M8" s="46"/>
    </row>
    <row r="9" spans="1:13" x14ac:dyDescent="0.3">
      <c r="A9" s="16">
        <v>1</v>
      </c>
      <c r="B9" t="s">
        <v>130</v>
      </c>
      <c r="D9" s="47">
        <v>104005</v>
      </c>
      <c r="E9" s="48">
        <f>+D9/D13</f>
        <v>0.22323236689669512</v>
      </c>
      <c r="F9" s="48">
        <v>0.02</v>
      </c>
      <c r="G9" s="48">
        <f>+E9*F9</f>
        <v>4.4646473379339026E-3</v>
      </c>
      <c r="J9" s="47">
        <v>104005</v>
      </c>
      <c r="K9" s="48">
        <f>+J9/J13</f>
        <v>0.22323236689669512</v>
      </c>
      <c r="L9" s="48">
        <v>0.02</v>
      </c>
      <c r="M9" s="48">
        <f>+K9*L9</f>
        <v>4.4646473379339026E-3</v>
      </c>
    </row>
    <row r="10" spans="1:13" x14ac:dyDescent="0.3">
      <c r="A10" s="16"/>
      <c r="D10" s="47"/>
      <c r="E10" s="48"/>
      <c r="F10" s="48"/>
      <c r="G10" s="48"/>
      <c r="J10" s="47"/>
      <c r="K10" s="48"/>
      <c r="L10" s="48"/>
      <c r="M10" s="48"/>
    </row>
    <row r="11" spans="1:13" x14ac:dyDescent="0.3">
      <c r="A11" s="16">
        <v>2</v>
      </c>
      <c r="B11" t="s">
        <v>131</v>
      </c>
      <c r="D11" s="49">
        <v>361899.66000000003</v>
      </c>
      <c r="E11" s="25">
        <f>+D11/D13</f>
        <v>0.77676763310330488</v>
      </c>
      <c r="F11" s="48">
        <v>0.12</v>
      </c>
      <c r="G11" s="50">
        <f>+E11*F11</f>
        <v>9.3212115972396578E-2</v>
      </c>
      <c r="J11" s="49">
        <v>361899.66000000003</v>
      </c>
      <c r="K11" s="25">
        <f>+J11/J13</f>
        <v>0.77676763310330488</v>
      </c>
      <c r="L11" s="48">
        <v>0.1</v>
      </c>
      <c r="M11" s="50">
        <f>+K11*L11</f>
        <v>7.7676763310330493E-2</v>
      </c>
    </row>
    <row r="12" spans="1:13" x14ac:dyDescent="0.3">
      <c r="A12" s="16"/>
      <c r="D12" s="51"/>
      <c r="E12" s="48"/>
      <c r="F12" s="30"/>
      <c r="G12" s="52"/>
      <c r="J12" s="51"/>
      <c r="K12" s="48"/>
      <c r="L12" s="30"/>
      <c r="M12" s="52"/>
    </row>
    <row r="13" spans="1:13" x14ac:dyDescent="0.3">
      <c r="A13" s="16">
        <v>3</v>
      </c>
      <c r="B13" t="s">
        <v>56</v>
      </c>
      <c r="D13" s="47">
        <f>+D9+D11</f>
        <v>465904.66000000003</v>
      </c>
      <c r="E13" s="48">
        <f>SUM(E9:E11)</f>
        <v>1</v>
      </c>
      <c r="G13" s="48">
        <f>SUM(G9:G11)</f>
        <v>9.7676763310330483E-2</v>
      </c>
      <c r="J13" s="47">
        <f>+J9+J11</f>
        <v>465904.66000000003</v>
      </c>
      <c r="K13" s="48">
        <f>SUM(K9:K11)</f>
        <v>1</v>
      </c>
      <c r="M13" s="48">
        <f>SUM(M9:M11)</f>
        <v>8.2141410648264399E-2</v>
      </c>
    </row>
    <row r="14" spans="1:13" x14ac:dyDescent="0.3">
      <c r="D14" s="47"/>
      <c r="E14" s="48"/>
      <c r="G14" s="48"/>
      <c r="J14" s="47"/>
      <c r="K14" s="48"/>
      <c r="M14" s="48"/>
    </row>
  </sheetData>
  <mergeCells count="3">
    <mergeCell ref="A1:G1"/>
    <mergeCell ref="A2:G2"/>
    <mergeCell ref="A3:G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35CB2-6233-4459-BD30-402C25FDE079}">
  <dimension ref="A1:C4"/>
  <sheetViews>
    <sheetView workbookViewId="0">
      <selection activeCell="L11" sqref="L11"/>
    </sheetView>
  </sheetViews>
  <sheetFormatPr defaultRowHeight="14.4" x14ac:dyDescent="0.3"/>
  <sheetData>
    <row r="1" spans="1:3" x14ac:dyDescent="0.3">
      <c r="A1" s="67">
        <v>6151.07</v>
      </c>
      <c r="C1" s="96" t="s">
        <v>251</v>
      </c>
    </row>
    <row r="2" spans="1:3" x14ac:dyDescent="0.3">
      <c r="A2" s="67">
        <v>8600</v>
      </c>
      <c r="C2" s="96" t="s">
        <v>252</v>
      </c>
    </row>
    <row r="3" spans="1:3" x14ac:dyDescent="0.3">
      <c r="A3" s="67">
        <v>2700</v>
      </c>
      <c r="C3" s="96" t="s">
        <v>253</v>
      </c>
    </row>
    <row r="4" spans="1:3" x14ac:dyDescent="0.3">
      <c r="A4" s="68">
        <f>SUM(A1:A3)</f>
        <v>17451.07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D397E-7B35-40B3-9AFE-2F05075B004E}">
  <dimension ref="A1:A37"/>
  <sheetViews>
    <sheetView workbookViewId="0">
      <selection activeCell="L11" sqref="L11"/>
    </sheetView>
  </sheetViews>
  <sheetFormatPr defaultRowHeight="14.4" x14ac:dyDescent="0.3"/>
  <cols>
    <col min="1" max="1" width="94.109375" customWidth="1"/>
  </cols>
  <sheetData>
    <row r="1" spans="1:1" x14ac:dyDescent="0.3">
      <c r="A1" s="84"/>
    </row>
    <row r="2" spans="1:1" x14ac:dyDescent="0.3">
      <c r="A2" s="84"/>
    </row>
    <row r="3" spans="1:1" ht="15.6" x14ac:dyDescent="0.3">
      <c r="A3" s="86" t="s">
        <v>206</v>
      </c>
    </row>
    <row r="4" spans="1:1" ht="15.6" x14ac:dyDescent="0.3">
      <c r="A4" s="86"/>
    </row>
    <row r="5" spans="1:1" ht="15.6" x14ac:dyDescent="0.3">
      <c r="A5" s="86"/>
    </row>
    <row r="6" spans="1:1" ht="15.6" x14ac:dyDescent="0.3">
      <c r="A6" s="86"/>
    </row>
    <row r="7" spans="1:1" ht="15.6" x14ac:dyDescent="0.3">
      <c r="A7" s="87" t="s">
        <v>207</v>
      </c>
    </row>
    <row r="8" spans="1:1" ht="15.6" x14ac:dyDescent="0.3">
      <c r="A8" s="86"/>
    </row>
    <row r="9" spans="1:1" ht="15.6" x14ac:dyDescent="0.3">
      <c r="A9" s="86" t="s">
        <v>208</v>
      </c>
    </row>
    <row r="10" spans="1:1" ht="15.6" x14ac:dyDescent="0.3">
      <c r="A10" s="86"/>
    </row>
    <row r="11" spans="1:1" ht="31.2" x14ac:dyDescent="0.3">
      <c r="A11" s="86" t="s">
        <v>209</v>
      </c>
    </row>
    <row r="12" spans="1:1" ht="15.6" x14ac:dyDescent="0.3">
      <c r="A12" s="86"/>
    </row>
    <row r="13" spans="1:1" ht="31.2" x14ac:dyDescent="0.3">
      <c r="A13" s="86" t="s">
        <v>210</v>
      </c>
    </row>
    <row r="14" spans="1:1" ht="15.6" x14ac:dyDescent="0.3">
      <c r="A14" s="86"/>
    </row>
    <row r="15" spans="1:1" ht="46.8" x14ac:dyDescent="0.3">
      <c r="A15" s="86" t="s">
        <v>211</v>
      </c>
    </row>
    <row r="16" spans="1:1" ht="15.6" x14ac:dyDescent="0.3">
      <c r="A16" s="86"/>
    </row>
    <row r="17" spans="1:1" ht="31.2" x14ac:dyDescent="0.3">
      <c r="A17" s="86" t="s">
        <v>212</v>
      </c>
    </row>
    <row r="18" spans="1:1" ht="15.6" x14ac:dyDescent="0.3">
      <c r="A18" s="86"/>
    </row>
    <row r="19" spans="1:1" ht="31.2" x14ac:dyDescent="0.3">
      <c r="A19" s="87" t="s">
        <v>213</v>
      </c>
    </row>
    <row r="20" spans="1:1" ht="15.6" x14ac:dyDescent="0.3">
      <c r="A20" s="86"/>
    </row>
    <row r="21" spans="1:1" ht="15.6" x14ac:dyDescent="0.3">
      <c r="A21" s="86"/>
    </row>
    <row r="22" spans="1:1" ht="15.6" x14ac:dyDescent="0.3">
      <c r="A22" s="86" t="s">
        <v>214</v>
      </c>
    </row>
    <row r="23" spans="1:1" ht="15.6" x14ac:dyDescent="0.3">
      <c r="A23" s="86"/>
    </row>
    <row r="24" spans="1:1" ht="15.6" x14ac:dyDescent="0.3">
      <c r="A24" s="86" t="s">
        <v>215</v>
      </c>
    </row>
    <row r="25" spans="1:1" ht="15.6" x14ac:dyDescent="0.3">
      <c r="A25" s="86"/>
    </row>
    <row r="26" spans="1:1" ht="15.6" x14ac:dyDescent="0.3">
      <c r="A26" s="86" t="s">
        <v>216</v>
      </c>
    </row>
    <row r="27" spans="1:1" ht="15" x14ac:dyDescent="0.3">
      <c r="A27" s="88" t="s">
        <v>217</v>
      </c>
    </row>
    <row r="28" spans="1:1" x14ac:dyDescent="0.3">
      <c r="A28" s="89"/>
    </row>
    <row r="29" spans="1:1" ht="15" x14ac:dyDescent="0.3">
      <c r="A29" s="88" t="s">
        <v>218</v>
      </c>
    </row>
    <row r="30" spans="1:1" ht="15" x14ac:dyDescent="0.3">
      <c r="A30" s="88" t="s">
        <v>219</v>
      </c>
    </row>
    <row r="31" spans="1:1" ht="15" x14ac:dyDescent="0.3">
      <c r="A31" s="88" t="s">
        <v>220</v>
      </c>
    </row>
    <row r="32" spans="1:1" ht="15" x14ac:dyDescent="0.3">
      <c r="A32" s="88" t="s">
        <v>221</v>
      </c>
    </row>
    <row r="33" spans="1:1" ht="15" x14ac:dyDescent="0.3">
      <c r="A33" s="88" t="s">
        <v>222</v>
      </c>
    </row>
    <row r="34" spans="1:1" ht="15" x14ac:dyDescent="0.3">
      <c r="A34" s="88" t="s">
        <v>223</v>
      </c>
    </row>
    <row r="35" spans="1:1" ht="15" x14ac:dyDescent="0.3">
      <c r="A35" s="88" t="s">
        <v>224</v>
      </c>
    </row>
    <row r="36" spans="1:1" x14ac:dyDescent="0.3">
      <c r="A36" s="90" t="s">
        <v>225</v>
      </c>
    </row>
    <row r="37" spans="1:1" ht="15.6" x14ac:dyDescent="0.3">
      <c r="A37" s="85"/>
    </row>
  </sheetData>
  <hyperlinks>
    <hyperlink ref="A36" r:id="rId1" display="mailto:bobkuch@integritywater.net" xr:uid="{13A35DE2-522C-45E7-B2B5-E1D9A1311B8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9FA27-6174-4F6B-B515-19A39E198D99}">
  <dimension ref="A1"/>
  <sheetViews>
    <sheetView topLeftCell="A28" workbookViewId="0">
      <selection activeCell="L11" sqref="L11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2AB88-0A3F-4DA8-9278-830B4FE30FFA}">
  <dimension ref="A1"/>
  <sheetViews>
    <sheetView workbookViewId="0">
      <selection activeCell="L11" sqref="L11"/>
    </sheetView>
  </sheetViews>
  <sheetFormatPr defaultRowHeight="14.4" x14ac:dyDescent="0.3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C3D2B28608B54B8199496EA6DFFE43" ma:contentTypeVersion="16" ma:contentTypeDescription="Create a new document." ma:contentTypeScope="" ma:versionID="2ff603eac507a70a5e6cdbdd5799ecdd">
  <xsd:schema xmlns:xsd="http://www.w3.org/2001/XMLSchema" xmlns:xs="http://www.w3.org/2001/XMLSchema" xmlns:p="http://schemas.microsoft.com/office/2006/metadata/properties" xmlns:ns2="d10d6a3f-5cfc-4277-87ba-ce8fa16ea15f" xmlns:ns3="786723fd-9950-4a51-81eb-81d0a6435b3d" targetNamespace="http://schemas.microsoft.com/office/2006/metadata/properties" ma:root="true" ma:fieldsID="55b60fb277f83849e7aff383f9997af4" ns2:_="" ns3:_="">
    <xsd:import namespace="d10d6a3f-5cfc-4277-87ba-ce8fa16ea15f"/>
    <xsd:import namespace="786723fd-9950-4a51-81eb-81d0a6435b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0d6a3f-5cfc-4277-87ba-ce8fa16ea1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19d7729-17ec-432f-96e5-5ca9df5b17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723fd-9950-4a51-81eb-81d0a6435b3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212d898-8e52-4dbe-b8d2-13762b7a53a3}" ma:internalName="TaxCatchAll" ma:showField="CatchAllData" ma:web="786723fd-9950-4a51-81eb-81d0a6435b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86723fd-9950-4a51-81eb-81d0a6435b3d" xsi:nil="true"/>
    <lcf76f155ced4ddcb4097134ff3c332f xmlns="d10d6a3f-5cfc-4277-87ba-ce8fa16ea15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BD9A404-672D-40D6-9E02-FF365BCF65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0d6a3f-5cfc-4277-87ba-ce8fa16ea15f"/>
    <ds:schemaRef ds:uri="786723fd-9950-4a51-81eb-81d0a6435b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80F53D1-7E41-4D3B-B16A-5046D90530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898B81-99E4-45FB-AFE8-C5965E185CC2}">
  <ds:schemaRefs>
    <ds:schemaRef ds:uri="http://purl.org/dc/dcmitype/"/>
    <ds:schemaRef ds:uri="d10d6a3f-5cfc-4277-87ba-ce8fa16ea15f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786723fd-9950-4a51-81eb-81d0a6435b3d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1- Chart of Adjustments</vt:lpstr>
      <vt:lpstr>2- Summary</vt:lpstr>
      <vt:lpstr>3- Revenue Requirement</vt:lpstr>
      <vt:lpstr>4- Rate Design &amp; Rate Proof</vt:lpstr>
      <vt:lpstr>Capital Structure</vt:lpstr>
      <vt:lpstr>capital add</vt:lpstr>
      <vt:lpstr>well 3 pump fail notice</vt:lpstr>
      <vt:lpstr>MGMT Email</vt:lpstr>
      <vt:lpstr>MGMT affadavit</vt:lpstr>
      <vt:lpstr>Depreciation</vt:lpstr>
      <vt:lpstr>Water Testing</vt:lpstr>
      <vt:lpstr>Teresa Salary</vt:lpstr>
      <vt:lpstr>Equipment</vt:lpstr>
      <vt:lpstr>Rate Case Expense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Joseph Terry</dc:creator>
  <cp:keywords/>
  <dc:description/>
  <cp:lastModifiedBy>Angie Velasquez</cp:lastModifiedBy>
  <cp:revision/>
  <cp:lastPrinted>2024-12-24T14:24:26Z</cp:lastPrinted>
  <dcterms:created xsi:type="dcterms:W3CDTF">2022-11-08T19:31:50Z</dcterms:created>
  <dcterms:modified xsi:type="dcterms:W3CDTF">2024-12-24T14:24:55Z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0x01010057C3D2B28608B54B8199496EA6DFFE43</vt:lpwstr>
  </property>
  <property fmtid="{D5CDD505-2E9C-101B-9397-08002B2CF9AE}" pid="3" name="MediaServiceImageTags">
    <vt:lpwstr/>
  </property>
</Properties>
</file>